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ek-my.sharepoint.com/personal/indrek_indrek_onmicrosoft_com/Documents/3. Töösolevad/20-23 Saku valla ÜVKA/"/>
    </mc:Choice>
  </mc:AlternateContent>
  <xr:revisionPtr revIDLastSave="7131" documentId="13_ncr:1_{2AAE35DC-9173-4A85-9357-767748027B0C}" xr6:coauthVersionLast="47" xr6:coauthVersionMax="47" xr10:uidLastSave="{3AEF21F1-F127-42BA-ADB2-5232E20109AE}"/>
  <bookViews>
    <workbookView xWindow="-110" yWindow="-110" windowWidth="19420" windowHeight="11500" firstSheet="1" activeTab="8" xr2:uid="{B1F3CA30-ED02-407D-B8CC-2E195D0C618F}"/>
  </bookViews>
  <sheets>
    <sheet name="Ühikhinnad" sheetId="15" r:id="rId1"/>
    <sheet name="SM" sheetId="13" r:id="rId2"/>
    <sheet name="Fin" sheetId="16" r:id="rId3"/>
    <sheet name="Q" sheetId="11" r:id="rId4"/>
    <sheet name="Elanikud" sheetId="4" r:id="rId5"/>
    <sheet name="Inv" sheetId="2" r:id="rId6"/>
    <sheet name="Inv-koond" sheetId="3" r:id="rId7"/>
    <sheet name="Inv-amort" sheetId="9" r:id="rId8"/>
    <sheet name="Veehind" sheetId="10" r:id="rId9"/>
    <sheet name="Joonised" sheetId="17" r:id="rId10"/>
  </sheets>
  <externalReferences>
    <externalReference r:id="rId11"/>
  </externalReferences>
  <definedNames>
    <definedName name="_xlnm._FilterDatabase" localSheetId="5" hidden="1">Inv!$A$2:$AA$407</definedName>
    <definedName name="_xlnm._FilterDatabase" localSheetId="7" hidden="1">'Inv-amort'!$A$2:$Q$8</definedName>
    <definedName name="_xlnm._FilterDatabase" localSheetId="3" hidden="1">Q!$A$1:$U$302</definedName>
    <definedName name="_xlnm._FilterDatabase" localSheetId="1" hidden="1">SM!$A$1:$K$113</definedName>
    <definedName name="_Toc78292394" localSheetId="5">Inv!$E$13</definedName>
    <definedName name="_Toc78292394" localSheetId="7">'Inv-amort'!#REF!</definedName>
    <definedName name="_Toc78292395" localSheetId="5">Inv!$E$35</definedName>
    <definedName name="_Toc78292395" localSheetId="7">'Inv-amort'!#REF!</definedName>
    <definedName name="_Toc78292397" localSheetId="5">Inv!$E$104</definedName>
    <definedName name="_Toc78292397" localSheetId="7">'Inv-amort'!#REF!</definedName>
    <definedName name="yld">Inv!$C$3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9" l="1"/>
  <c r="I19" i="9"/>
  <c r="P6" i="3"/>
  <c r="K108" i="2"/>
  <c r="L108" i="2"/>
  <c r="M108" i="2"/>
  <c r="J108" i="2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H107" i="2"/>
  <c r="I109" i="2"/>
  <c r="I107" i="2"/>
  <c r="H106" i="2"/>
  <c r="I106" i="2" s="1"/>
  <c r="H182" i="2"/>
  <c r="G213" i="2"/>
  <c r="H181" i="2"/>
  <c r="I181" i="2" s="1"/>
  <c r="H180" i="2"/>
  <c r="I180" i="2" s="1"/>
  <c r="H193" i="2"/>
  <c r="H192" i="2"/>
  <c r="H191" i="2"/>
  <c r="I191" i="2" s="1"/>
  <c r="I187" i="2"/>
  <c r="J187" i="2" s="1"/>
  <c r="L187" i="2" s="1"/>
  <c r="I192" i="2" l="1"/>
  <c r="P187" i="2"/>
  <c r="K187" i="2"/>
  <c r="AN187" i="2" l="1"/>
  <c r="AM187" i="2"/>
  <c r="AH187" i="2"/>
  <c r="AF187" i="2"/>
  <c r="AL187" i="2"/>
  <c r="AI187" i="2"/>
  <c r="AG187" i="2"/>
  <c r="AE187" i="2"/>
  <c r="AD187" i="2"/>
  <c r="AK187" i="2"/>
  <c r="AJ187" i="2"/>
  <c r="AC187" i="2"/>
  <c r="I375" i="2"/>
  <c r="F19" i="16"/>
  <c r="H392" i="2"/>
  <c r="H205" i="2"/>
  <c r="I205" i="2" s="1"/>
  <c r="H58" i="2"/>
  <c r="I58" i="2" s="1"/>
  <c r="H57" i="2"/>
  <c r="I57" i="2" s="1"/>
  <c r="H379" i="2"/>
  <c r="I379" i="2" s="1"/>
  <c r="J49" i="15" l="1"/>
  <c r="G25" i="4" l="1"/>
  <c r="G4" i="4"/>
  <c r="H4" i="4" s="1"/>
  <c r="I4" i="4" s="1"/>
  <c r="L153" i="2"/>
  <c r="M153" i="2"/>
  <c r="H154" i="2"/>
  <c r="H321" i="2"/>
  <c r="I321" i="2" s="1"/>
  <c r="F45" i="4"/>
  <c r="G47" i="4"/>
  <c r="G48" i="4" s="1"/>
  <c r="F47" i="4"/>
  <c r="F48" i="4" s="1"/>
  <c r="F18" i="16"/>
  <c r="D39" i="10"/>
  <c r="D38" i="10"/>
  <c r="C39" i="10"/>
  <c r="C38" i="10"/>
  <c r="B39" i="10"/>
  <c r="B38" i="10"/>
  <c r="E23" i="16"/>
  <c r="E21" i="16" s="1"/>
  <c r="D23" i="16"/>
  <c r="E25" i="16"/>
  <c r="D25" i="16"/>
  <c r="H47" i="4" l="1"/>
  <c r="G45" i="4"/>
  <c r="D6" i="10"/>
  <c r="Y101" i="11"/>
  <c r="X101" i="11"/>
  <c r="Y100" i="11"/>
  <c r="H73" i="2"/>
  <c r="G73" i="2"/>
  <c r="G54" i="2"/>
  <c r="H54" i="2"/>
  <c r="H53" i="2"/>
  <c r="I53" i="2" s="1"/>
  <c r="I47" i="4" l="1"/>
  <c r="H48" i="4"/>
  <c r="H45" i="4"/>
  <c r="I73" i="2"/>
  <c r="J47" i="4" l="1"/>
  <c r="I48" i="4"/>
  <c r="I45" i="4"/>
  <c r="K47" i="4" l="1"/>
  <c r="J48" i="4"/>
  <c r="J45" i="4"/>
  <c r="I330" i="2"/>
  <c r="I329" i="2"/>
  <c r="H328" i="2"/>
  <c r="I328" i="2" s="1"/>
  <c r="I327" i="2"/>
  <c r="L47" i="4" l="1"/>
  <c r="K48" i="4"/>
  <c r="K45" i="4"/>
  <c r="I290" i="2"/>
  <c r="AD95" i="11"/>
  <c r="M47" i="4" l="1"/>
  <c r="L48" i="4"/>
  <c r="L45" i="4"/>
  <c r="H138" i="2"/>
  <c r="I138" i="2" s="1"/>
  <c r="H123" i="2"/>
  <c r="I123" i="2" s="1"/>
  <c r="H133" i="2"/>
  <c r="H132" i="2"/>
  <c r="H131" i="2"/>
  <c r="H134" i="2"/>
  <c r="I134" i="2" s="1"/>
  <c r="H120" i="2"/>
  <c r="I120" i="2" s="1"/>
  <c r="N47" i="4" l="1"/>
  <c r="M48" i="4"/>
  <c r="M45" i="4"/>
  <c r="H267" i="2"/>
  <c r="I267" i="2" s="1"/>
  <c r="H266" i="2"/>
  <c r="I266" i="2" s="1"/>
  <c r="H265" i="2"/>
  <c r="I265" i="2" s="1"/>
  <c r="H245" i="2"/>
  <c r="I245" i="2" s="1"/>
  <c r="H260" i="2"/>
  <c r="I260" i="2" s="1"/>
  <c r="H264" i="2"/>
  <c r="I264" i="2" s="1"/>
  <c r="Z97" i="11"/>
  <c r="Y97" i="11"/>
  <c r="X97" i="11"/>
  <c r="X94" i="11"/>
  <c r="Y94" i="11"/>
  <c r="Z94" i="11"/>
  <c r="AA94" i="11"/>
  <c r="AA97" i="11" s="1"/>
  <c r="AB94" i="11"/>
  <c r="AB97" i="11" s="1"/>
  <c r="AC94" i="11"/>
  <c r="AC97" i="11" s="1"/>
  <c r="H39" i="2"/>
  <c r="I39" i="2" s="1"/>
  <c r="I38" i="2"/>
  <c r="E8" i="10"/>
  <c r="E9" i="10" s="1"/>
  <c r="I42" i="2"/>
  <c r="O47" i="4" l="1"/>
  <c r="N48" i="4"/>
  <c r="N45" i="4"/>
  <c r="AD94" i="11"/>
  <c r="AF94" i="11" s="1"/>
  <c r="P47" i="4" l="1"/>
  <c r="O48" i="4"/>
  <c r="O45" i="4"/>
  <c r="AE95" i="11"/>
  <c r="B11" i="10"/>
  <c r="C11" i="10"/>
  <c r="C10" i="10"/>
  <c r="B10" i="10"/>
  <c r="F4" i="10"/>
  <c r="F8" i="10" s="1"/>
  <c r="F9" i="10" s="1"/>
  <c r="B9" i="10"/>
  <c r="B8" i="10"/>
  <c r="U35" i="11"/>
  <c r="E15" i="16"/>
  <c r="D15" i="16"/>
  <c r="C15" i="16"/>
  <c r="I66" i="2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1" i="2"/>
  <c r="I211" i="2" s="1"/>
  <c r="H210" i="2"/>
  <c r="I210" i="2" s="1"/>
  <c r="H209" i="2"/>
  <c r="I209" i="2" s="1"/>
  <c r="H208" i="2"/>
  <c r="I208" i="2" s="1"/>
  <c r="H206" i="2"/>
  <c r="I206" i="2" s="1"/>
  <c r="H207" i="2"/>
  <c r="I207" i="2" s="1"/>
  <c r="H146" i="2"/>
  <c r="I146" i="2" s="1"/>
  <c r="H145" i="2"/>
  <c r="I145" i="2" s="1"/>
  <c r="AS144" i="2"/>
  <c r="AS145" i="2" s="1"/>
  <c r="AS146" i="2" s="1"/>
  <c r="AP144" i="2"/>
  <c r="AP145" i="2" s="1"/>
  <c r="AP146" i="2" s="1"/>
  <c r="H144" i="2"/>
  <c r="I144" i="2" s="1"/>
  <c r="H143" i="2"/>
  <c r="I143" i="2" s="1"/>
  <c r="H141" i="2"/>
  <c r="I141" i="2" s="1"/>
  <c r="H142" i="2"/>
  <c r="I142" i="2" s="1"/>
  <c r="H140" i="2"/>
  <c r="I140" i="2" s="1"/>
  <c r="H139" i="2"/>
  <c r="I139" i="2" s="1"/>
  <c r="H129" i="2"/>
  <c r="I129" i="2" s="1"/>
  <c r="H127" i="2"/>
  <c r="I127" i="2" s="1"/>
  <c r="H125" i="2"/>
  <c r="I125" i="2" s="1"/>
  <c r="H128" i="2"/>
  <c r="I128" i="2" s="1"/>
  <c r="H126" i="2"/>
  <c r="I126" i="2" s="1"/>
  <c r="H124" i="2"/>
  <c r="I124" i="2" s="1"/>
  <c r="H137" i="2"/>
  <c r="I137" i="2" s="1"/>
  <c r="H136" i="2"/>
  <c r="I136" i="2" s="1"/>
  <c r="H135" i="2"/>
  <c r="I135" i="2" s="1"/>
  <c r="H121" i="2"/>
  <c r="I121" i="2" s="1"/>
  <c r="H68" i="2"/>
  <c r="I68" i="2" s="1"/>
  <c r="H72" i="2"/>
  <c r="I72" i="2" s="1"/>
  <c r="H71" i="2"/>
  <c r="I71" i="2" s="1"/>
  <c r="H70" i="2"/>
  <c r="I70" i="2" s="1"/>
  <c r="H69" i="2"/>
  <c r="I69" i="2" s="1"/>
  <c r="H67" i="2"/>
  <c r="I67" i="2" s="1"/>
  <c r="H65" i="2"/>
  <c r="I65" i="2" s="1"/>
  <c r="H64" i="2"/>
  <c r="I64" i="2" s="1"/>
  <c r="I54" i="2"/>
  <c r="G52" i="2"/>
  <c r="H52" i="2"/>
  <c r="Q47" i="4" l="1"/>
  <c r="Q48" i="4" s="1"/>
  <c r="P48" i="4"/>
  <c r="P45" i="4"/>
  <c r="G4" i="10"/>
  <c r="G8" i="10" s="1"/>
  <c r="I52" i="2"/>
  <c r="Q45" i="4" l="1"/>
  <c r="H8" i="10"/>
  <c r="G9" i="10"/>
  <c r="H4" i="10"/>
  <c r="H51" i="2"/>
  <c r="I51" i="2" s="1"/>
  <c r="H50" i="2"/>
  <c r="I50" i="2" s="1"/>
  <c r="H61" i="2"/>
  <c r="H62" i="2"/>
  <c r="I62" i="2" s="1"/>
  <c r="H63" i="2"/>
  <c r="I63" i="2" s="1"/>
  <c r="H60" i="2"/>
  <c r="I60" i="2" s="1"/>
  <c r="H49" i="2"/>
  <c r="I49" i="2" s="1"/>
  <c r="H48" i="2"/>
  <c r="I48" i="2" s="1"/>
  <c r="G56" i="2"/>
  <c r="I177" i="2"/>
  <c r="H100" i="2"/>
  <c r="I100" i="2" s="1"/>
  <c r="I8" i="10" l="1"/>
  <c r="H9" i="10"/>
  <c r="I4" i="10"/>
  <c r="I61" i="2"/>
  <c r="L61" i="13"/>
  <c r="L66" i="13"/>
  <c r="L76" i="13"/>
  <c r="L41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3" i="13"/>
  <c r="V24" i="3"/>
  <c r="U27" i="3"/>
  <c r="V27" i="3"/>
  <c r="U28" i="3"/>
  <c r="U29" i="3"/>
  <c r="V29" i="3"/>
  <c r="V30" i="3"/>
  <c r="U31" i="3"/>
  <c r="V31" i="3"/>
  <c r="T29" i="3"/>
  <c r="T31" i="3"/>
  <c r="D44" i="10"/>
  <c r="D43" i="10"/>
  <c r="D42" i="10"/>
  <c r="D41" i="10"/>
  <c r="I325" i="2"/>
  <c r="J8" i="10" l="1"/>
  <c r="I9" i="10"/>
  <c r="J4" i="10"/>
  <c r="H179" i="2"/>
  <c r="I179" i="2" s="1"/>
  <c r="H159" i="2"/>
  <c r="G159" i="2"/>
  <c r="I154" i="2"/>
  <c r="I41" i="2"/>
  <c r="B103" i="10"/>
  <c r="B105" i="10" s="1"/>
  <c r="B94" i="10"/>
  <c r="C94" i="10"/>
  <c r="B95" i="10"/>
  <c r="C95" i="10"/>
  <c r="B97" i="10"/>
  <c r="C97" i="10"/>
  <c r="B99" i="10"/>
  <c r="C99" i="10"/>
  <c r="H216" i="2"/>
  <c r="H215" i="2"/>
  <c r="I215" i="2" s="1"/>
  <c r="M395" i="2"/>
  <c r="K8" i="10" l="1"/>
  <c r="J9" i="10"/>
  <c r="K4" i="10"/>
  <c r="C96" i="10"/>
  <c r="C100" i="10" s="1"/>
  <c r="B96" i="10"/>
  <c r="B100" i="10" s="1"/>
  <c r="I159" i="2"/>
  <c r="L8" i="10" l="1"/>
  <c r="K9" i="10"/>
  <c r="L4" i="10"/>
  <c r="F28" i="9"/>
  <c r="G28" i="9"/>
  <c r="G29" i="9" s="1"/>
  <c r="H28" i="9"/>
  <c r="I28" i="9"/>
  <c r="J28" i="9"/>
  <c r="K28" i="9"/>
  <c r="L28" i="9"/>
  <c r="M28" i="9"/>
  <c r="N28" i="9"/>
  <c r="O28" i="9"/>
  <c r="P28" i="9"/>
  <c r="Q28" i="9"/>
  <c r="M8" i="10" l="1"/>
  <c r="L9" i="10"/>
  <c r="M4" i="10"/>
  <c r="H29" i="9"/>
  <c r="N8" i="10" l="1"/>
  <c r="M9" i="10"/>
  <c r="N4" i="10"/>
  <c r="I29" i="9"/>
  <c r="O8" i="10" l="1"/>
  <c r="N9" i="10"/>
  <c r="O4" i="10"/>
  <c r="J29" i="9"/>
  <c r="P8" i="10" l="1"/>
  <c r="P9" i="10" s="1"/>
  <c r="O9" i="10"/>
  <c r="P4" i="10"/>
  <c r="K29" i="9"/>
  <c r="L29" i="9" l="1"/>
  <c r="M29" i="9" l="1"/>
  <c r="N29" i="9" l="1"/>
  <c r="O29" i="9" l="1"/>
  <c r="P29" i="9" l="1"/>
  <c r="Q29" i="9" l="1"/>
  <c r="B36" i="10" l="1"/>
  <c r="B37" i="10"/>
  <c r="G37" i="16"/>
  <c r="H37" i="16"/>
  <c r="I37" i="16"/>
  <c r="J37" i="16"/>
  <c r="K37" i="16"/>
  <c r="L37" i="16"/>
  <c r="M37" i="16"/>
  <c r="N37" i="16"/>
  <c r="O37" i="16"/>
  <c r="P37" i="16"/>
  <c r="F37" i="16"/>
  <c r="F32" i="16"/>
  <c r="F33" i="16" s="1"/>
  <c r="E33" i="16"/>
  <c r="E45" i="16" s="1"/>
  <c r="C127" i="10" s="1"/>
  <c r="C108" i="10" s="1"/>
  <c r="D106" i="10"/>
  <c r="F41" i="16"/>
  <c r="C36" i="10"/>
  <c r="C46" i="10" s="1"/>
  <c r="C37" i="10"/>
  <c r="J22" i="16"/>
  <c r="K22" i="16" s="1"/>
  <c r="J21" i="16"/>
  <c r="K21" i="16" s="1"/>
  <c r="D72" i="10"/>
  <c r="C72" i="10"/>
  <c r="D65" i="10"/>
  <c r="D44" i="16"/>
  <c r="E42" i="16" s="1"/>
  <c r="C124" i="10" s="1"/>
  <c r="E44" i="16"/>
  <c r="C126" i="10" s="1"/>
  <c r="C44" i="16"/>
  <c r="D42" i="16" s="1"/>
  <c r="B124" i="10" s="1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G32" i="16"/>
  <c r="A37" i="16"/>
  <c r="G36" i="16" s="1"/>
  <c r="G35" i="16" s="1"/>
  <c r="H38" i="16" s="1"/>
  <c r="A32" i="16"/>
  <c r="E31" i="16" s="1"/>
  <c r="E43" i="16" s="1"/>
  <c r="C125" i="10" s="1"/>
  <c r="C107" i="10" s="1"/>
  <c r="D33" i="16"/>
  <c r="D45" i="16" s="1"/>
  <c r="B127" i="10" s="1"/>
  <c r="B108" i="10" s="1"/>
  <c r="M5" i="16"/>
  <c r="P4" i="16"/>
  <c r="M3" i="16"/>
  <c r="M2" i="16"/>
  <c r="P3" i="16"/>
  <c r="O6" i="16"/>
  <c r="L6" i="16"/>
  <c r="C52" i="10"/>
  <c r="P5" i="16"/>
  <c r="P2" i="16"/>
  <c r="I13" i="11"/>
  <c r="F6" i="16" s="1"/>
  <c r="F38" i="16" l="1"/>
  <c r="G38" i="16"/>
  <c r="D97" i="10"/>
  <c r="J13" i="11"/>
  <c r="K13" i="11" s="1"/>
  <c r="L13" i="11" s="1"/>
  <c r="M13" i="11" s="1"/>
  <c r="N13" i="11" s="1"/>
  <c r="O13" i="11" s="1"/>
  <c r="P13" i="11" s="1"/>
  <c r="Q13" i="11" s="1"/>
  <c r="R13" i="11" s="1"/>
  <c r="S13" i="11" s="1"/>
  <c r="T13" i="11" s="1"/>
  <c r="U13" i="11" s="1"/>
  <c r="E41" i="16"/>
  <c r="C106" i="10" s="1"/>
  <c r="C110" i="10" s="1"/>
  <c r="C51" i="10"/>
  <c r="C103" i="10"/>
  <c r="F45" i="16"/>
  <c r="D127" i="10" s="1"/>
  <c r="B126" i="10"/>
  <c r="F42" i="16"/>
  <c r="D124" i="10" s="1"/>
  <c r="C47" i="10"/>
  <c r="L21" i="16"/>
  <c r="E65" i="10"/>
  <c r="D31" i="16"/>
  <c r="F31" i="16"/>
  <c r="F36" i="16"/>
  <c r="H36" i="16"/>
  <c r="H35" i="16" s="1"/>
  <c r="I38" i="16" s="1"/>
  <c r="M6" i="16"/>
  <c r="P6" i="16"/>
  <c r="N6" i="16"/>
  <c r="D103" i="10" s="1"/>
  <c r="D105" i="10" s="1"/>
  <c r="E97" i="10" l="1"/>
  <c r="F97" i="10" s="1"/>
  <c r="G97" i="10" s="1"/>
  <c r="H97" i="10" s="1"/>
  <c r="I97" i="10" s="1"/>
  <c r="J97" i="10" s="1"/>
  <c r="K97" i="10" s="1"/>
  <c r="L97" i="10" s="1"/>
  <c r="M97" i="10" s="1"/>
  <c r="N97" i="10" s="1"/>
  <c r="O97" i="10" s="1"/>
  <c r="P97" i="10" s="1"/>
  <c r="D43" i="16"/>
  <c r="B125" i="10" s="1"/>
  <c r="B107" i="10" s="1"/>
  <c r="D41" i="16"/>
  <c r="B106" i="10" s="1"/>
  <c r="C105" i="10"/>
  <c r="F30" i="16"/>
  <c r="G33" i="16" s="1"/>
  <c r="F43" i="16"/>
  <c r="D125" i="10" s="1"/>
  <c r="L22" i="16"/>
  <c r="F65" i="10"/>
  <c r="I36" i="16"/>
  <c r="I35" i="16" s="1"/>
  <c r="J38" i="16" s="1"/>
  <c r="B110" i="10" l="1"/>
  <c r="G31" i="16"/>
  <c r="G43" i="16" s="1"/>
  <c r="E125" i="10" s="1"/>
  <c r="F44" i="16"/>
  <c r="G45" i="16"/>
  <c r="E127" i="10" s="1"/>
  <c r="C68" i="10"/>
  <c r="G65" i="10"/>
  <c r="J36" i="16"/>
  <c r="J35" i="16" s="1"/>
  <c r="K38" i="16" s="1"/>
  <c r="G30" i="16" l="1"/>
  <c r="H33" i="16" s="1"/>
  <c r="H45" i="16" s="1"/>
  <c r="F127" i="10" s="1"/>
  <c r="D126" i="10"/>
  <c r="G42" i="16"/>
  <c r="E124" i="10" s="1"/>
  <c r="H65" i="10"/>
  <c r="K36" i="16"/>
  <c r="K35" i="16" s="1"/>
  <c r="L38" i="16" s="1"/>
  <c r="G44" i="16" l="1"/>
  <c r="E126" i="10" s="1"/>
  <c r="H31" i="16"/>
  <c r="I65" i="10"/>
  <c r="L36" i="16"/>
  <c r="L35" i="16" s="1"/>
  <c r="M38" i="16" s="1"/>
  <c r="H42" i="16" l="1"/>
  <c r="F124" i="10" s="1"/>
  <c r="H43" i="16"/>
  <c r="F125" i="10" s="1"/>
  <c r="H30" i="16"/>
  <c r="J65" i="10"/>
  <c r="M36" i="16"/>
  <c r="M35" i="16" s="1"/>
  <c r="N38" i="16" s="1"/>
  <c r="I33" i="16" l="1"/>
  <c r="I45" i="16" s="1"/>
  <c r="G127" i="10" s="1"/>
  <c r="I31" i="16"/>
  <c r="I43" i="16" s="1"/>
  <c r="G125" i="10" s="1"/>
  <c r="H44" i="16"/>
  <c r="K65" i="10"/>
  <c r="N36" i="16"/>
  <c r="N35" i="16" s="1"/>
  <c r="O38" i="16" s="1"/>
  <c r="I30" i="16" l="1"/>
  <c r="J31" i="16" s="1"/>
  <c r="F126" i="10"/>
  <c r="I42" i="16"/>
  <c r="G124" i="10" s="1"/>
  <c r="J33" i="16"/>
  <c r="J45" i="16" s="1"/>
  <c r="H127" i="10" s="1"/>
  <c r="I44" i="16"/>
  <c r="J43" i="16"/>
  <c r="H125" i="10" s="1"/>
  <c r="J30" i="16"/>
  <c r="L65" i="10"/>
  <c r="O36" i="16"/>
  <c r="O35" i="16" s="1"/>
  <c r="P38" i="16" s="1"/>
  <c r="G126" i="10" l="1"/>
  <c r="J42" i="16"/>
  <c r="H124" i="10" s="1"/>
  <c r="K33" i="16"/>
  <c r="K45" i="16" s="1"/>
  <c r="I127" i="10" s="1"/>
  <c r="K31" i="16"/>
  <c r="K43" i="16" s="1"/>
  <c r="I125" i="10" s="1"/>
  <c r="J44" i="16"/>
  <c r="M65" i="10"/>
  <c r="P36" i="16"/>
  <c r="P35" i="16" s="1"/>
  <c r="K30" i="16" l="1"/>
  <c r="L33" i="16" s="1"/>
  <c r="L45" i="16" s="1"/>
  <c r="J127" i="10" s="1"/>
  <c r="K42" i="16"/>
  <c r="I124" i="10" s="1"/>
  <c r="H126" i="10"/>
  <c r="N65" i="10"/>
  <c r="K44" i="16" l="1"/>
  <c r="I126" i="10" s="1"/>
  <c r="L31" i="16"/>
  <c r="L43" i="16"/>
  <c r="J125" i="10" s="1"/>
  <c r="L30" i="16"/>
  <c r="O65" i="10"/>
  <c r="L42" i="16" l="1"/>
  <c r="J124" i="10" s="1"/>
  <c r="M33" i="16"/>
  <c r="M45" i="16" s="1"/>
  <c r="K127" i="10" s="1"/>
  <c r="L44" i="16"/>
  <c r="M31" i="16"/>
  <c r="M43" i="16" s="1"/>
  <c r="K125" i="10" s="1"/>
  <c r="P65" i="10"/>
  <c r="M30" i="16" l="1"/>
  <c r="J126" i="10"/>
  <c r="M42" i="16"/>
  <c r="K124" i="10" s="1"/>
  <c r="N33" i="16" l="1"/>
  <c r="N45" i="16" s="1"/>
  <c r="L127" i="10" s="1"/>
  <c r="N31" i="16"/>
  <c r="N43" i="16" s="1"/>
  <c r="L125" i="10" s="1"/>
  <c r="M44" i="16"/>
  <c r="K126" i="10" l="1"/>
  <c r="N42" i="16"/>
  <c r="L124" i="10" s="1"/>
  <c r="N30" i="16"/>
  <c r="O33" i="16" l="1"/>
  <c r="O45" i="16" s="1"/>
  <c r="M127" i="10" s="1"/>
  <c r="O31" i="16"/>
  <c r="O43" i="16" s="1"/>
  <c r="M125" i="10" s="1"/>
  <c r="N44" i="16"/>
  <c r="O30" i="16"/>
  <c r="F7" i="16"/>
  <c r="D99" i="10" s="1"/>
  <c r="E99" i="10" s="1"/>
  <c r="F99" i="10" s="1"/>
  <c r="G99" i="10" s="1"/>
  <c r="H99" i="10" s="1"/>
  <c r="I99" i="10" s="1"/>
  <c r="J99" i="10" s="1"/>
  <c r="K99" i="10" s="1"/>
  <c r="L99" i="10" s="1"/>
  <c r="M99" i="10" s="1"/>
  <c r="N99" i="10" s="1"/>
  <c r="O99" i="10" s="1"/>
  <c r="P99" i="10" s="1"/>
  <c r="F13" i="16"/>
  <c r="Z3" i="13"/>
  <c r="R21" i="13"/>
  <c r="R20" i="13"/>
  <c r="P20" i="13"/>
  <c r="Q20" i="13"/>
  <c r="O20" i="13"/>
  <c r="P33" i="16" l="1"/>
  <c r="P45" i="16" s="1"/>
  <c r="N127" i="10" s="1"/>
  <c r="O44" i="16"/>
  <c r="P31" i="16"/>
  <c r="P43" i="16" s="1"/>
  <c r="N125" i="10" s="1"/>
  <c r="O42" i="16"/>
  <c r="M124" i="10" s="1"/>
  <c r="L126" i="10"/>
  <c r="D3" i="16"/>
  <c r="B111" i="10" s="1"/>
  <c r="E3" i="16"/>
  <c r="D9" i="16"/>
  <c r="B101" i="10" s="1"/>
  <c r="B102" i="10" s="1"/>
  <c r="B112" i="10" s="1"/>
  <c r="E9" i="16"/>
  <c r="C101" i="10" s="1"/>
  <c r="C102" i="10" s="1"/>
  <c r="C112" i="10" s="1"/>
  <c r="AD24" i="11"/>
  <c r="AD22" i="11" s="1"/>
  <c r="AD21" i="11"/>
  <c r="AD27" i="11"/>
  <c r="I25" i="4"/>
  <c r="H25" i="4"/>
  <c r="G19" i="9"/>
  <c r="H19" i="9"/>
  <c r="J19" i="9"/>
  <c r="K19" i="9"/>
  <c r="L19" i="9"/>
  <c r="M19" i="9"/>
  <c r="N19" i="9"/>
  <c r="O19" i="9"/>
  <c r="P19" i="9"/>
  <c r="Q19" i="9"/>
  <c r="F19" i="9"/>
  <c r="G20" i="9"/>
  <c r="H20" i="9"/>
  <c r="J20" i="9"/>
  <c r="K20" i="9"/>
  <c r="L20" i="9"/>
  <c r="M20" i="9"/>
  <c r="N20" i="9"/>
  <c r="O20" i="9"/>
  <c r="P20" i="9"/>
  <c r="Q20" i="9"/>
  <c r="F20" i="9"/>
  <c r="C25" i="3"/>
  <c r="C26" i="3"/>
  <c r="B25" i="3"/>
  <c r="B58" i="15"/>
  <c r="B59" i="15"/>
  <c r="B60" i="15"/>
  <c r="B61" i="15"/>
  <c r="B62" i="15"/>
  <c r="H398" i="2"/>
  <c r="H399" i="2"/>
  <c r="I386" i="2"/>
  <c r="I392" i="2"/>
  <c r="H361" i="2"/>
  <c r="I361" i="2" s="1"/>
  <c r="G354" i="2"/>
  <c r="H360" i="2"/>
  <c r="I360" i="2" s="1"/>
  <c r="H363" i="2"/>
  <c r="I363" i="2" s="1"/>
  <c r="H362" i="2"/>
  <c r="I362" i="2" s="1"/>
  <c r="O364" i="2"/>
  <c r="H364" i="2"/>
  <c r="I364" i="2" s="1"/>
  <c r="H359" i="2"/>
  <c r="G359" i="2"/>
  <c r="O365" i="2"/>
  <c r="H272" i="2"/>
  <c r="H160" i="2"/>
  <c r="I160" i="2" s="1"/>
  <c r="H162" i="2"/>
  <c r="G351" i="2"/>
  <c r="H350" i="2"/>
  <c r="H351" i="2"/>
  <c r="I365" i="2"/>
  <c r="H358" i="2"/>
  <c r="I358" i="2" s="1"/>
  <c r="H356" i="2"/>
  <c r="H357" i="2"/>
  <c r="I357" i="2" s="1"/>
  <c r="P30" i="16" l="1"/>
  <c r="Q31" i="16" s="1"/>
  <c r="Q43" i="16" s="1"/>
  <c r="O125" i="10" s="1"/>
  <c r="B113" i="10"/>
  <c r="C111" i="10" s="1"/>
  <c r="P42" i="16"/>
  <c r="N124" i="10" s="1"/>
  <c r="M126" i="10"/>
  <c r="E8" i="16"/>
  <c r="D8" i="16"/>
  <c r="AD25" i="11"/>
  <c r="P22" i="9"/>
  <c r="P23" i="9"/>
  <c r="O22" i="9"/>
  <c r="N23" i="9"/>
  <c r="Q23" i="9"/>
  <c r="M22" i="9"/>
  <c r="L23" i="9"/>
  <c r="K23" i="9"/>
  <c r="G22" i="9"/>
  <c r="F23" i="9"/>
  <c r="J23" i="9"/>
  <c r="D20" i="9"/>
  <c r="H23" i="9"/>
  <c r="J22" i="9"/>
  <c r="O23" i="9"/>
  <c r="G23" i="9"/>
  <c r="D19" i="9"/>
  <c r="M23" i="9"/>
  <c r="H22" i="9"/>
  <c r="N22" i="9"/>
  <c r="L22" i="9"/>
  <c r="F22" i="9"/>
  <c r="Q22" i="9"/>
  <c r="K22" i="9"/>
  <c r="I359" i="2"/>
  <c r="P44" i="16" l="1"/>
  <c r="Q33" i="16"/>
  <c r="Q45" i="16" s="1"/>
  <c r="O127" i="10" s="1"/>
  <c r="Q30" i="16"/>
  <c r="N126" i="10"/>
  <c r="Q42" i="16"/>
  <c r="O124" i="10" s="1"/>
  <c r="L24" i="9"/>
  <c r="H24" i="9"/>
  <c r="D22" i="9"/>
  <c r="M24" i="9"/>
  <c r="P24" i="9"/>
  <c r="Q24" i="9"/>
  <c r="F24" i="9"/>
  <c r="J24" i="9"/>
  <c r="O24" i="9"/>
  <c r="N24" i="9"/>
  <c r="K24" i="9"/>
  <c r="D23" i="9"/>
  <c r="G24" i="9"/>
  <c r="R33" i="16" l="1"/>
  <c r="R45" i="16" s="1"/>
  <c r="P127" i="10" s="1"/>
  <c r="R31" i="16"/>
  <c r="R43" i="16" s="1"/>
  <c r="P125" i="10" s="1"/>
  <c r="Q44" i="16"/>
  <c r="H25" i="9"/>
  <c r="L25" i="9"/>
  <c r="K104" i="10" s="1"/>
  <c r="J25" i="9"/>
  <c r="I104" i="10" s="1"/>
  <c r="Q25" i="9"/>
  <c r="O25" i="9"/>
  <c r="N104" i="10" s="1"/>
  <c r="G25" i="9"/>
  <c r="N25" i="9"/>
  <c r="M104" i="10" s="1"/>
  <c r="F25" i="9"/>
  <c r="P25" i="9"/>
  <c r="O104" i="10" s="1"/>
  <c r="M25" i="9"/>
  <c r="L104" i="10" s="1"/>
  <c r="K25" i="9"/>
  <c r="J104" i="10" s="1"/>
  <c r="D24" i="9"/>
  <c r="I401" i="2"/>
  <c r="I398" i="2"/>
  <c r="I399" i="2"/>
  <c r="I390" i="2"/>
  <c r="I384" i="2"/>
  <c r="H380" i="2"/>
  <c r="I380" i="2" s="1"/>
  <c r="H378" i="2"/>
  <c r="I378" i="2" s="1"/>
  <c r="H377" i="2"/>
  <c r="I377" i="2" s="1"/>
  <c r="H376" i="2"/>
  <c r="I376" i="2" s="1"/>
  <c r="G374" i="2"/>
  <c r="I374" i="2" s="1"/>
  <c r="H371" i="2"/>
  <c r="I371" i="2" s="1"/>
  <c r="H370" i="2"/>
  <c r="I370" i="2" s="1"/>
  <c r="H185" i="2"/>
  <c r="H186" i="2"/>
  <c r="H184" i="2"/>
  <c r="R42" i="16" l="1"/>
  <c r="P124" i="10" s="1"/>
  <c r="O126" i="10"/>
  <c r="R30" i="16"/>
  <c r="G26" i="9"/>
  <c r="F98" i="10" s="1"/>
  <c r="F104" i="10"/>
  <c r="E104" i="10"/>
  <c r="F26" i="9"/>
  <c r="E98" i="10" s="1"/>
  <c r="Q26" i="9"/>
  <c r="P98" i="10" s="1"/>
  <c r="P104" i="10"/>
  <c r="H26" i="9"/>
  <c r="G98" i="10" s="1"/>
  <c r="G104" i="10"/>
  <c r="D25" i="9"/>
  <c r="H161" i="2"/>
  <c r="H163" i="2"/>
  <c r="H81" i="2"/>
  <c r="H80" i="2"/>
  <c r="I80" i="2" s="1"/>
  <c r="H86" i="2"/>
  <c r="H85" i="2"/>
  <c r="I85" i="2" s="1"/>
  <c r="H168" i="2"/>
  <c r="H165" i="2"/>
  <c r="H167" i="2"/>
  <c r="H166" i="2"/>
  <c r="H170" i="2"/>
  <c r="H169" i="2"/>
  <c r="H171" i="2"/>
  <c r="G352" i="2"/>
  <c r="I356" i="2"/>
  <c r="H355" i="2"/>
  <c r="I355" i="2" s="1"/>
  <c r="H354" i="2"/>
  <c r="I354" i="2" s="1"/>
  <c r="H352" i="2"/>
  <c r="I351" i="2"/>
  <c r="I350" i="2"/>
  <c r="H342" i="2"/>
  <c r="G43" i="15"/>
  <c r="S33" i="16" l="1"/>
  <c r="S45" i="16" s="1"/>
  <c r="R44" i="16"/>
  <c r="S31" i="16"/>
  <c r="S43" i="16" s="1"/>
  <c r="I352" i="2"/>
  <c r="S42" i="16" l="1"/>
  <c r="P126" i="10"/>
  <c r="S30" i="16"/>
  <c r="H343" i="2"/>
  <c r="I343" i="2" s="1"/>
  <c r="I335" i="2"/>
  <c r="I341" i="2"/>
  <c r="G342" i="2"/>
  <c r="I342" i="2" s="1"/>
  <c r="T33" i="16" l="1"/>
  <c r="T45" i="16" s="1"/>
  <c r="S44" i="16"/>
  <c r="T42" i="16" s="1"/>
  <c r="T31" i="16"/>
  <c r="T43" i="16" s="1"/>
  <c r="I405" i="2"/>
  <c r="I407" i="2"/>
  <c r="G252" i="2"/>
  <c r="T30" i="16" l="1"/>
  <c r="T44" i="16" s="1"/>
  <c r="C43" i="15"/>
  <c r="H373" i="2" s="1"/>
  <c r="I373" i="2" s="1"/>
  <c r="S7" i="3"/>
  <c r="S9" i="3"/>
  <c r="S14" i="3"/>
  <c r="S17" i="3"/>
  <c r="R7" i="3"/>
  <c r="R9" i="3"/>
  <c r="R14" i="3"/>
  <c r="R17" i="3"/>
  <c r="L7" i="3"/>
  <c r="M7" i="3"/>
  <c r="N7" i="3"/>
  <c r="O7" i="3"/>
  <c r="M8" i="3"/>
  <c r="N8" i="3"/>
  <c r="O8" i="3"/>
  <c r="O9" i="3"/>
  <c r="M10" i="3"/>
  <c r="N10" i="3"/>
  <c r="O10" i="3"/>
  <c r="L11" i="3"/>
  <c r="M11" i="3"/>
  <c r="N11" i="3"/>
  <c r="O11" i="3"/>
  <c r="L12" i="3"/>
  <c r="M12" i="3"/>
  <c r="N12" i="3"/>
  <c r="O12" i="3"/>
  <c r="L13" i="3"/>
  <c r="M13" i="3"/>
  <c r="N13" i="3"/>
  <c r="O13" i="3"/>
  <c r="M16" i="3"/>
  <c r="N16" i="3"/>
  <c r="O16" i="3"/>
  <c r="M14" i="3"/>
  <c r="O14" i="3"/>
  <c r="M15" i="3"/>
  <c r="N15" i="3"/>
  <c r="O15" i="3"/>
  <c r="L17" i="3"/>
  <c r="M17" i="3"/>
  <c r="N17" i="3"/>
  <c r="O17" i="3"/>
  <c r="M6" i="3"/>
  <c r="O6" i="3"/>
  <c r="H7" i="3"/>
  <c r="J7" i="3"/>
  <c r="H8" i="3"/>
  <c r="J8" i="3"/>
  <c r="H9" i="3"/>
  <c r="J9" i="3"/>
  <c r="J10" i="3"/>
  <c r="H11" i="3"/>
  <c r="I11" i="3"/>
  <c r="J11" i="3"/>
  <c r="I12" i="3"/>
  <c r="J12" i="3"/>
  <c r="H13" i="3"/>
  <c r="I13" i="3"/>
  <c r="J13" i="3"/>
  <c r="H16" i="3"/>
  <c r="J16" i="3"/>
  <c r="H14" i="3"/>
  <c r="J14" i="3"/>
  <c r="H15" i="3"/>
  <c r="I15" i="3"/>
  <c r="J15" i="3"/>
  <c r="H17" i="3"/>
  <c r="I17" i="3"/>
  <c r="J17" i="3"/>
  <c r="H6" i="3"/>
  <c r="G11" i="3"/>
  <c r="G12" i="3"/>
  <c r="G13" i="3"/>
  <c r="G15" i="3"/>
  <c r="H314" i="2"/>
  <c r="I314" i="2" s="1"/>
  <c r="H310" i="2"/>
  <c r="I310" i="2" s="1"/>
  <c r="H309" i="2"/>
  <c r="I309" i="2" s="1"/>
  <c r="H313" i="2"/>
  <c r="I313" i="2" s="1"/>
  <c r="H312" i="2"/>
  <c r="I312" i="2" s="1"/>
  <c r="H291" i="2"/>
  <c r="I291" i="2" s="1"/>
  <c r="H289" i="2"/>
  <c r="I289" i="2" s="1"/>
  <c r="H288" i="2"/>
  <c r="I288" i="2" s="1"/>
  <c r="H286" i="2"/>
  <c r="I286" i="2" s="1"/>
  <c r="H248" i="2"/>
  <c r="I248" i="2" s="1"/>
  <c r="H259" i="2"/>
  <c r="I259" i="2" s="1"/>
  <c r="H251" i="2"/>
  <c r="I251" i="2" s="1"/>
  <c r="H252" i="2"/>
  <c r="I252" i="2" s="1"/>
  <c r="H263" i="2"/>
  <c r="I263" i="2" s="1"/>
  <c r="H256" i="2"/>
  <c r="I256" i="2" s="1"/>
  <c r="H255" i="2"/>
  <c r="I255" i="2" s="1"/>
  <c r="H254" i="2"/>
  <c r="I254" i="2" s="1"/>
  <c r="H258" i="2"/>
  <c r="I258" i="2" s="1"/>
  <c r="H257" i="2"/>
  <c r="I257" i="2" s="1"/>
  <c r="H262" i="2"/>
  <c r="I262" i="2" s="1"/>
  <c r="H261" i="2"/>
  <c r="I261" i="2" s="1"/>
  <c r="H253" i="2"/>
  <c r="I253" i="2" s="1"/>
  <c r="H247" i="2"/>
  <c r="I247" i="2" s="1"/>
  <c r="H246" i="2"/>
  <c r="I246" i="2" s="1"/>
  <c r="H244" i="2"/>
  <c r="I244" i="2" s="1"/>
  <c r="H243" i="2"/>
  <c r="I243" i="2" s="1"/>
  <c r="H242" i="2"/>
  <c r="I242" i="2" s="1"/>
  <c r="I231" i="2"/>
  <c r="I229" i="2"/>
  <c r="H214" i="2"/>
  <c r="H213" i="2"/>
  <c r="T14" i="3" l="1"/>
  <c r="T9" i="3"/>
  <c r="T17" i="3"/>
  <c r="T7" i="3"/>
  <c r="H189" i="2" l="1"/>
  <c r="I189" i="2" s="1"/>
  <c r="H198" i="2"/>
  <c r="I182" i="2"/>
  <c r="H190" i="2" l="1"/>
  <c r="I216" i="2"/>
  <c r="I214" i="2"/>
  <c r="I213" i="2"/>
  <c r="G54" i="15"/>
  <c r="F54" i="15"/>
  <c r="G52" i="15"/>
  <c r="F52" i="15"/>
  <c r="I212" i="2" l="1"/>
  <c r="I97" i="2"/>
  <c r="C18" i="3"/>
  <c r="C7" i="3"/>
  <c r="H84" i="2"/>
  <c r="I84" i="2" s="1"/>
  <c r="H83" i="2"/>
  <c r="H78" i="2"/>
  <c r="H59" i="2"/>
  <c r="I59" i="2" s="1"/>
  <c r="H47" i="2"/>
  <c r="I47" i="2" s="1"/>
  <c r="H79" i="2"/>
  <c r="I79" i="2" s="1"/>
  <c r="I32" i="2"/>
  <c r="H27" i="2"/>
  <c r="H34" i="2"/>
  <c r="H40" i="2"/>
  <c r="H37" i="2"/>
  <c r="H22" i="2"/>
  <c r="H21" i="2"/>
  <c r="I21" i="2" s="1"/>
  <c r="J21" i="2" s="1"/>
  <c r="K21" i="2" l="1"/>
  <c r="P21" i="2"/>
  <c r="AC21" i="2" l="1"/>
  <c r="AM21" i="2"/>
  <c r="AE21" i="2"/>
  <c r="AL21" i="2"/>
  <c r="AD21" i="2"/>
  <c r="AJ21" i="2"/>
  <c r="AK21" i="2"/>
  <c r="AN21" i="2"/>
  <c r="AI21" i="2"/>
  <c r="AH21" i="2"/>
  <c r="AG21" i="2"/>
  <c r="AF21" i="2"/>
  <c r="I133" i="2" l="1"/>
  <c r="I132" i="2"/>
  <c r="I131" i="2"/>
  <c r="I130" i="2" l="1"/>
  <c r="H56" i="2"/>
  <c r="I56" i="2" s="1"/>
  <c r="H46" i="2"/>
  <c r="I46" i="2" s="1"/>
  <c r="B3" i="2"/>
  <c r="M62" i="15"/>
  <c r="L62" i="15"/>
  <c r="K62" i="15"/>
  <c r="J62" i="15"/>
  <c r="I62" i="15"/>
  <c r="H62" i="15"/>
  <c r="E62" i="15"/>
  <c r="C62" i="15"/>
  <c r="D61" i="15"/>
  <c r="C61" i="15"/>
  <c r="M60" i="15"/>
  <c r="L60" i="15"/>
  <c r="K60" i="15"/>
  <c r="J60" i="15"/>
  <c r="I60" i="15"/>
  <c r="H60" i="15"/>
  <c r="E60" i="15"/>
  <c r="D60" i="15"/>
  <c r="C60" i="15"/>
  <c r="M59" i="15"/>
  <c r="L59" i="15"/>
  <c r="K59" i="15"/>
  <c r="E59" i="15"/>
  <c r="D59" i="15"/>
  <c r="C59" i="15"/>
  <c r="D58" i="15"/>
  <c r="J57" i="15"/>
  <c r="I57" i="15"/>
  <c r="E57" i="15"/>
  <c r="C57" i="15"/>
  <c r="D54" i="15"/>
  <c r="D62" i="15" s="1"/>
  <c r="L53" i="15"/>
  <c r="M53" i="15" s="1"/>
  <c r="M61" i="15" s="1"/>
  <c r="H53" i="15"/>
  <c r="L51" i="15"/>
  <c r="M51" i="15" s="1"/>
  <c r="I51" i="15"/>
  <c r="J51" i="15" s="1"/>
  <c r="K51" i="15" s="1"/>
  <c r="H51" i="15"/>
  <c r="E51" i="15" s="1"/>
  <c r="C51" i="15" s="1"/>
  <c r="L50" i="15"/>
  <c r="M50" i="15" s="1"/>
  <c r="I50" i="15"/>
  <c r="H50" i="15"/>
  <c r="G50" i="15" s="1"/>
  <c r="F50" i="15" s="1"/>
  <c r="E50" i="15"/>
  <c r="J59" i="15"/>
  <c r="I49" i="15"/>
  <c r="I59" i="15" s="1"/>
  <c r="H49" i="15"/>
  <c r="H59" i="15" s="1"/>
  <c r="K48" i="15"/>
  <c r="I48" i="15"/>
  <c r="H48" i="15"/>
  <c r="H47" i="15"/>
  <c r="M45" i="15"/>
  <c r="M48" i="15" s="1"/>
  <c r="L48" i="15" s="1"/>
  <c r="L45" i="15"/>
  <c r="F43" i="15"/>
  <c r="E43" i="15"/>
  <c r="D43" i="15"/>
  <c r="B43" i="15"/>
  <c r="G31" i="15"/>
  <c r="E31" i="15"/>
  <c r="F25" i="15"/>
  <c r="D25" i="15"/>
  <c r="B25" i="15"/>
  <c r="F24" i="15"/>
  <c r="D24" i="15"/>
  <c r="B24" i="15"/>
  <c r="F23" i="15"/>
  <c r="D23" i="15"/>
  <c r="B23" i="15"/>
  <c r="C31" i="15"/>
  <c r="D17" i="15"/>
  <c r="C17" i="15"/>
  <c r="E16" i="15"/>
  <c r="D16" i="15" s="1"/>
  <c r="E15" i="15"/>
  <c r="F15" i="15" s="1"/>
  <c r="B47" i="15" l="1"/>
  <c r="B57" i="15" s="1"/>
  <c r="B63" i="15" s="1"/>
  <c r="F47" i="15"/>
  <c r="F55" i="15" s="1"/>
  <c r="V45" i="3"/>
  <c r="M47" i="15"/>
  <c r="M57" i="15" s="1"/>
  <c r="G47" i="15"/>
  <c r="J50" i="15"/>
  <c r="K50" i="15" s="1"/>
  <c r="H58" i="15"/>
  <c r="I53" i="15"/>
  <c r="I61" i="15" s="1"/>
  <c r="D31" i="15"/>
  <c r="L58" i="15"/>
  <c r="I58" i="15"/>
  <c r="J48" i="15"/>
  <c r="B31" i="15"/>
  <c r="E58" i="15"/>
  <c r="F31" i="15"/>
  <c r="K58" i="15"/>
  <c r="C58" i="15"/>
  <c r="C63" i="15" s="1"/>
  <c r="C55" i="15"/>
  <c r="E18" i="15"/>
  <c r="L47" i="15"/>
  <c r="E53" i="15"/>
  <c r="E61" i="15" s="1"/>
  <c r="H61" i="15"/>
  <c r="F16" i="15"/>
  <c r="D15" i="15"/>
  <c r="C16" i="15"/>
  <c r="K47" i="15"/>
  <c r="M58" i="15"/>
  <c r="D47" i="15"/>
  <c r="H55" i="15"/>
  <c r="H57" i="15"/>
  <c r="L61" i="15"/>
  <c r="I288" i="11"/>
  <c r="B55" i="15" l="1"/>
  <c r="I397" i="2" s="1"/>
  <c r="H122" i="2"/>
  <c r="I122" i="2" s="1"/>
  <c r="H119" i="2"/>
  <c r="I119" i="2" s="1"/>
  <c r="H158" i="2"/>
  <c r="I158" i="2" s="1"/>
  <c r="H197" i="2"/>
  <c r="H204" i="2" s="1"/>
  <c r="I204" i="2" s="1"/>
  <c r="I203" i="2" s="1"/>
  <c r="M55" i="15"/>
  <c r="J58" i="15"/>
  <c r="G55" i="15"/>
  <c r="H63" i="15"/>
  <c r="J53" i="15"/>
  <c r="J55" i="15" s="1"/>
  <c r="H349" i="2" s="1"/>
  <c r="I55" i="15"/>
  <c r="I63" i="15"/>
  <c r="M63" i="15"/>
  <c r="E63" i="15"/>
  <c r="E55" i="15"/>
  <c r="D18" i="15"/>
  <c r="C15" i="15"/>
  <c r="C18" i="15" s="1"/>
  <c r="H188" i="2" s="1"/>
  <c r="I188" i="2" s="1"/>
  <c r="K57" i="15"/>
  <c r="D57" i="15"/>
  <c r="D63" i="15" s="1"/>
  <c r="D55" i="15"/>
  <c r="L55" i="15"/>
  <c r="L57" i="15"/>
  <c r="L63" i="15" s="1"/>
  <c r="K116" i="13"/>
  <c r="K115" i="13"/>
  <c r="H116" i="13"/>
  <c r="H115" i="13"/>
  <c r="M42" i="13"/>
  <c r="L42" i="13"/>
  <c r="L12" i="13"/>
  <c r="I319" i="2"/>
  <c r="I118" i="2" l="1"/>
  <c r="H250" i="2"/>
  <c r="I250" i="2" s="1"/>
  <c r="I249" i="2" s="1"/>
  <c r="H241" i="2"/>
  <c r="I241" i="2" s="1"/>
  <c r="I240" i="2" s="1"/>
  <c r="H308" i="2"/>
  <c r="I308" i="2" s="1"/>
  <c r="I349" i="2"/>
  <c r="K53" i="15"/>
  <c r="K61" i="15" s="1"/>
  <c r="K63" i="15" s="1"/>
  <c r="J61" i="15"/>
  <c r="J63" i="15" s="1"/>
  <c r="I40" i="2"/>
  <c r="I22" i="2"/>
  <c r="K55" i="15" l="1"/>
  <c r="H285" i="2" s="1"/>
  <c r="I285" i="2" s="1"/>
  <c r="I20" i="2"/>
  <c r="J20" i="2" l="1"/>
  <c r="R20" i="2" s="1"/>
  <c r="I345" i="2"/>
  <c r="I337" i="2"/>
  <c r="I304" i="2"/>
  <c r="I302" i="2"/>
  <c r="I298" i="2"/>
  <c r="I296" i="2"/>
  <c r="I281" i="2"/>
  <c r="I279" i="2"/>
  <c r="I275" i="2"/>
  <c r="I273" i="2"/>
  <c r="I272" i="2"/>
  <c r="I237" i="2"/>
  <c r="I235" i="2"/>
  <c r="I200" i="2"/>
  <c r="I198" i="2"/>
  <c r="I197" i="2"/>
  <c r="I193" i="2"/>
  <c r="I190" i="2"/>
  <c r="I186" i="2"/>
  <c r="I185" i="2"/>
  <c r="I184" i="2"/>
  <c r="I178" i="2"/>
  <c r="I176" i="2"/>
  <c r="I171" i="2"/>
  <c r="I170" i="2"/>
  <c r="I169" i="2"/>
  <c r="I168" i="2"/>
  <c r="I167" i="2"/>
  <c r="I166" i="2"/>
  <c r="I165" i="2"/>
  <c r="I163" i="2"/>
  <c r="I162" i="2"/>
  <c r="I161" i="2"/>
  <c r="I99" i="2"/>
  <c r="I92" i="2"/>
  <c r="I90" i="2"/>
  <c r="I86" i="2"/>
  <c r="I83" i="2"/>
  <c r="I81" i="2"/>
  <c r="I78" i="2"/>
  <c r="I37" i="2"/>
  <c r="I35" i="2"/>
  <c r="I34" i="2"/>
  <c r="I33" i="2"/>
  <c r="H31" i="2"/>
  <c r="I31" i="2" s="1"/>
  <c r="I27" i="2"/>
  <c r="H26" i="2"/>
  <c r="I26" i="2" s="1"/>
  <c r="I25" i="2"/>
  <c r="H24" i="2"/>
  <c r="I24" i="2" s="1"/>
  <c r="H23" i="2"/>
  <c r="I18" i="2"/>
  <c r="J18" i="2" s="1"/>
  <c r="I17" i="2"/>
  <c r="C3" i="2"/>
  <c r="J113" i="2" l="1"/>
  <c r="J114" i="2"/>
  <c r="J115" i="2"/>
  <c r="J110" i="2"/>
  <c r="J112" i="2"/>
  <c r="J111" i="2"/>
  <c r="J109" i="2"/>
  <c r="J106" i="2"/>
  <c r="J107" i="2"/>
  <c r="J192" i="2"/>
  <c r="S192" i="2" s="1"/>
  <c r="J180" i="2"/>
  <c r="J181" i="2"/>
  <c r="J191" i="2"/>
  <c r="M191" i="2" s="1"/>
  <c r="K191" i="2" s="1"/>
  <c r="J188" i="2"/>
  <c r="J205" i="2"/>
  <c r="J375" i="2"/>
  <c r="J57" i="2"/>
  <c r="J58" i="2"/>
  <c r="J321" i="2"/>
  <c r="K321" i="2" s="1"/>
  <c r="J379" i="2"/>
  <c r="J53" i="2"/>
  <c r="J73" i="2"/>
  <c r="J290" i="2"/>
  <c r="J327" i="2"/>
  <c r="J329" i="2"/>
  <c r="J330" i="2"/>
  <c r="J328" i="2"/>
  <c r="J138" i="2"/>
  <c r="J122" i="2"/>
  <c r="J123" i="2"/>
  <c r="J134" i="2"/>
  <c r="J120" i="2"/>
  <c r="J119" i="2"/>
  <c r="J265" i="2"/>
  <c r="J266" i="2"/>
  <c r="J267" i="2"/>
  <c r="J260" i="2"/>
  <c r="J245" i="2"/>
  <c r="J38" i="2"/>
  <c r="X38" i="2" s="1"/>
  <c r="J264" i="2"/>
  <c r="J42" i="2"/>
  <c r="X42" i="2" s="1"/>
  <c r="J39" i="2"/>
  <c r="J66" i="2"/>
  <c r="J224" i="2"/>
  <c r="J222" i="2"/>
  <c r="J223" i="2"/>
  <c r="J220" i="2"/>
  <c r="J221" i="2"/>
  <c r="J219" i="2"/>
  <c r="J218" i="2"/>
  <c r="J217" i="2"/>
  <c r="J210" i="2"/>
  <c r="J211" i="2"/>
  <c r="J209" i="2"/>
  <c r="J208" i="2"/>
  <c r="J206" i="2"/>
  <c r="J204" i="2"/>
  <c r="J207" i="2"/>
  <c r="J146" i="2"/>
  <c r="J144" i="2"/>
  <c r="J145" i="2"/>
  <c r="J143" i="2"/>
  <c r="J141" i="2"/>
  <c r="J142" i="2"/>
  <c r="J139" i="2"/>
  <c r="J140" i="2"/>
  <c r="J129" i="2"/>
  <c r="J127" i="2"/>
  <c r="J128" i="2"/>
  <c r="J125" i="2"/>
  <c r="J124" i="2"/>
  <c r="J126" i="2"/>
  <c r="J136" i="2"/>
  <c r="J137" i="2"/>
  <c r="J135" i="2"/>
  <c r="J68" i="2"/>
  <c r="J121" i="2"/>
  <c r="J54" i="2"/>
  <c r="J70" i="2"/>
  <c r="J72" i="2"/>
  <c r="J71" i="2"/>
  <c r="J65" i="2"/>
  <c r="J69" i="2"/>
  <c r="J67" i="2"/>
  <c r="J64" i="2"/>
  <c r="J52" i="2"/>
  <c r="J51" i="2"/>
  <c r="J50" i="2"/>
  <c r="J61" i="2"/>
  <c r="J62" i="2"/>
  <c r="J60" i="2"/>
  <c r="J63" i="2"/>
  <c r="J177" i="2"/>
  <c r="K177" i="2" s="1"/>
  <c r="J48" i="2"/>
  <c r="J49" i="2"/>
  <c r="J100" i="2"/>
  <c r="H43" i="3"/>
  <c r="I43" i="3"/>
  <c r="G43" i="3"/>
  <c r="V43" i="3"/>
  <c r="J179" i="2"/>
  <c r="Q179" i="2" s="1"/>
  <c r="J325" i="2"/>
  <c r="J158" i="2"/>
  <c r="J154" i="2"/>
  <c r="Q154" i="2" s="1"/>
  <c r="J159" i="2"/>
  <c r="J215" i="2"/>
  <c r="J41" i="2"/>
  <c r="K18" i="2"/>
  <c r="K20" i="2"/>
  <c r="P18" i="2"/>
  <c r="J364" i="2"/>
  <c r="J361" i="2"/>
  <c r="J362" i="2"/>
  <c r="J363" i="2"/>
  <c r="J392" i="2"/>
  <c r="J360" i="2"/>
  <c r="J386" i="2"/>
  <c r="J160" i="2"/>
  <c r="J359" i="2"/>
  <c r="J357" i="2"/>
  <c r="J358" i="2"/>
  <c r="J365" i="2"/>
  <c r="J401" i="2"/>
  <c r="J399" i="2"/>
  <c r="J398" i="2"/>
  <c r="J384" i="2"/>
  <c r="J390" i="2"/>
  <c r="J380" i="2"/>
  <c r="R380" i="2" s="1"/>
  <c r="J373" i="2"/>
  <c r="R373" i="2" s="1"/>
  <c r="J370" i="2"/>
  <c r="R370" i="2" s="1"/>
  <c r="J378" i="2"/>
  <c r="R378" i="2" s="1"/>
  <c r="J374" i="2"/>
  <c r="R374" i="2" s="1"/>
  <c r="J377" i="2"/>
  <c r="R377" i="2" s="1"/>
  <c r="J376" i="2"/>
  <c r="R376" i="2" s="1"/>
  <c r="J371" i="2"/>
  <c r="R371" i="2" s="1"/>
  <c r="J85" i="2"/>
  <c r="P85" i="2" s="1"/>
  <c r="J80" i="2"/>
  <c r="P80" i="2" s="1"/>
  <c r="J354" i="2"/>
  <c r="J356" i="2"/>
  <c r="J349" i="2"/>
  <c r="J355" i="2"/>
  <c r="J350" i="2"/>
  <c r="J351" i="2"/>
  <c r="J352" i="2"/>
  <c r="J341" i="2"/>
  <c r="J335" i="2"/>
  <c r="J342" i="2"/>
  <c r="J343" i="2"/>
  <c r="J405" i="2"/>
  <c r="J397" i="2"/>
  <c r="J407" i="2"/>
  <c r="J309" i="2"/>
  <c r="J313" i="2"/>
  <c r="J314" i="2"/>
  <c r="J312" i="2"/>
  <c r="J310" i="2"/>
  <c r="J308" i="2"/>
  <c r="J286" i="2"/>
  <c r="J285" i="2"/>
  <c r="J248" i="2"/>
  <c r="J291" i="2"/>
  <c r="J288" i="2"/>
  <c r="J289" i="2"/>
  <c r="J259" i="2"/>
  <c r="J251" i="2"/>
  <c r="J250" i="2"/>
  <c r="J263" i="2"/>
  <c r="J252" i="2"/>
  <c r="J253" i="2"/>
  <c r="J262" i="2"/>
  <c r="J244" i="2"/>
  <c r="J246" i="2"/>
  <c r="J241" i="2"/>
  <c r="J247" i="2"/>
  <c r="J242" i="2"/>
  <c r="J243" i="2"/>
  <c r="J229" i="2"/>
  <c r="J231" i="2"/>
  <c r="J254" i="2"/>
  <c r="J258" i="2"/>
  <c r="J256" i="2"/>
  <c r="J255" i="2"/>
  <c r="J257" i="2"/>
  <c r="J261" i="2"/>
  <c r="J182" i="2"/>
  <c r="J189" i="2"/>
  <c r="J214" i="2"/>
  <c r="J216" i="2"/>
  <c r="J213" i="2"/>
  <c r="J97" i="2"/>
  <c r="L97" i="2" s="1"/>
  <c r="I23" i="2"/>
  <c r="I101" i="2"/>
  <c r="I102" i="2"/>
  <c r="J102" i="2" s="1"/>
  <c r="B18" i="3"/>
  <c r="J59" i="2"/>
  <c r="J84" i="2"/>
  <c r="P84" i="2" s="1"/>
  <c r="J79" i="2"/>
  <c r="P79" i="2" s="1"/>
  <c r="J47" i="2"/>
  <c r="J32" i="2"/>
  <c r="J132" i="2"/>
  <c r="J131" i="2"/>
  <c r="J133" i="2"/>
  <c r="J56" i="2"/>
  <c r="J46" i="2"/>
  <c r="J319" i="2"/>
  <c r="J22" i="2"/>
  <c r="J40" i="2"/>
  <c r="J86" i="2"/>
  <c r="P86" i="2" s="1"/>
  <c r="J184" i="2"/>
  <c r="Q184" i="2" s="1"/>
  <c r="J272" i="2"/>
  <c r="L272" i="2" s="1"/>
  <c r="U43" i="3" s="1"/>
  <c r="J198" i="2"/>
  <c r="J78" i="2"/>
  <c r="P78" i="2" s="1"/>
  <c r="J162" i="2"/>
  <c r="J170" i="2"/>
  <c r="J31" i="2"/>
  <c r="J83" i="2"/>
  <c r="P83" i="2" s="1"/>
  <c r="J169" i="2"/>
  <c r="J337" i="2"/>
  <c r="J25" i="2"/>
  <c r="Q25" i="2" s="1"/>
  <c r="J35" i="2"/>
  <c r="J298" i="2"/>
  <c r="J345" i="2"/>
  <c r="J17" i="2"/>
  <c r="J165" i="2"/>
  <c r="J190" i="2"/>
  <c r="J281" i="2"/>
  <c r="J26" i="2"/>
  <c r="L26" i="2" s="1"/>
  <c r="J166" i="2"/>
  <c r="J193" i="2"/>
  <c r="J37" i="2"/>
  <c r="J163" i="2"/>
  <c r="J176" i="2"/>
  <c r="J237" i="2"/>
  <c r="J304" i="2"/>
  <c r="J33" i="2"/>
  <c r="J81" i="2"/>
  <c r="P81" i="2" s="1"/>
  <c r="J99" i="2"/>
  <c r="J167" i="2"/>
  <c r="J185" i="2"/>
  <c r="S185" i="2" s="1"/>
  <c r="J200" i="2"/>
  <c r="J273" i="2"/>
  <c r="J302" i="2"/>
  <c r="J24" i="2"/>
  <c r="J27" i="2"/>
  <c r="J178" i="2"/>
  <c r="S178" i="2" s="1"/>
  <c r="J279" i="2"/>
  <c r="J296" i="2"/>
  <c r="J34" i="2"/>
  <c r="J92" i="2"/>
  <c r="J168" i="2"/>
  <c r="J171" i="2"/>
  <c r="J186" i="2"/>
  <c r="P186" i="2" s="1"/>
  <c r="J197" i="2"/>
  <c r="J235" i="2"/>
  <c r="J90" i="2"/>
  <c r="J161" i="2"/>
  <c r="J275" i="2"/>
  <c r="X115" i="2" l="1"/>
  <c r="AA115" i="2"/>
  <c r="Z115" i="2"/>
  <c r="Y115" i="2"/>
  <c r="W115" i="2"/>
  <c r="U115" i="2"/>
  <c r="T115" i="2"/>
  <c r="V115" i="2"/>
  <c r="L115" i="2"/>
  <c r="M115" i="2"/>
  <c r="Y114" i="2"/>
  <c r="Z114" i="2"/>
  <c r="X114" i="2"/>
  <c r="W114" i="2"/>
  <c r="V114" i="2"/>
  <c r="U114" i="2"/>
  <c r="T114" i="2"/>
  <c r="M114" i="2"/>
  <c r="L114" i="2"/>
  <c r="K114" i="2" s="1"/>
  <c r="AA114" i="2"/>
  <c r="X113" i="2"/>
  <c r="W113" i="2"/>
  <c r="V113" i="2"/>
  <c r="U113" i="2"/>
  <c r="T113" i="2"/>
  <c r="M113" i="2"/>
  <c r="L113" i="2"/>
  <c r="K113" i="2" s="1"/>
  <c r="Z113" i="2"/>
  <c r="AA113" i="2"/>
  <c r="Y113" i="2"/>
  <c r="L107" i="2"/>
  <c r="M107" i="2"/>
  <c r="M106" i="2"/>
  <c r="L106" i="2"/>
  <c r="J105" i="2"/>
  <c r="U111" i="2"/>
  <c r="T111" i="2"/>
  <c r="M111" i="2"/>
  <c r="K111" i="2" s="1"/>
  <c r="L111" i="2"/>
  <c r="AA111" i="2"/>
  <c r="Z111" i="2"/>
  <c r="Y111" i="2"/>
  <c r="X111" i="2"/>
  <c r="W111" i="2"/>
  <c r="V111" i="2"/>
  <c r="Y109" i="2"/>
  <c r="X109" i="2"/>
  <c r="W109" i="2"/>
  <c r="V109" i="2"/>
  <c r="U109" i="2"/>
  <c r="M109" i="2"/>
  <c r="L109" i="2"/>
  <c r="K109" i="2" s="1"/>
  <c r="AA109" i="2"/>
  <c r="Z109" i="2"/>
  <c r="T109" i="2"/>
  <c r="Y112" i="2"/>
  <c r="X112" i="2"/>
  <c r="W112" i="2"/>
  <c r="V112" i="2"/>
  <c r="M112" i="2"/>
  <c r="U112" i="2"/>
  <c r="AA112" i="2"/>
  <c r="Z112" i="2"/>
  <c r="L112" i="2"/>
  <c r="T112" i="2"/>
  <c r="AA110" i="2"/>
  <c r="Z110" i="2"/>
  <c r="Y110" i="2"/>
  <c r="W110" i="2"/>
  <c r="V110" i="2"/>
  <c r="U110" i="2"/>
  <c r="M110" i="2"/>
  <c r="T110" i="2"/>
  <c r="L110" i="2"/>
  <c r="K110" i="2" s="1"/>
  <c r="X110" i="2"/>
  <c r="W107" i="2"/>
  <c r="V107" i="2"/>
  <c r="U107" i="2"/>
  <c r="T107" i="2"/>
  <c r="AA107" i="2"/>
  <c r="Z107" i="2"/>
  <c r="Y107" i="2"/>
  <c r="X107" i="2"/>
  <c r="W106" i="2"/>
  <c r="V106" i="2"/>
  <c r="U106" i="2"/>
  <c r="T106" i="2"/>
  <c r="AA106" i="2"/>
  <c r="Z106" i="2"/>
  <c r="Y106" i="2"/>
  <c r="X106" i="2"/>
  <c r="L8" i="3"/>
  <c r="S191" i="2"/>
  <c r="AF191" i="2" s="1"/>
  <c r="M192" i="2"/>
  <c r="K192" i="2" s="1"/>
  <c r="AE192" i="2" s="1"/>
  <c r="Q181" i="2"/>
  <c r="K181" i="2"/>
  <c r="K180" i="2"/>
  <c r="Q180" i="2"/>
  <c r="Q182" i="2"/>
  <c r="M182" i="2"/>
  <c r="K182" i="2" s="1"/>
  <c r="S188" i="2"/>
  <c r="M188" i="2"/>
  <c r="K188" i="2" s="1"/>
  <c r="AN191" i="2"/>
  <c r="AL191" i="2"/>
  <c r="AD191" i="2"/>
  <c r="AK191" i="2"/>
  <c r="AH191" i="2"/>
  <c r="AM191" i="2"/>
  <c r="AJ191" i="2"/>
  <c r="AG191" i="2"/>
  <c r="AC191" i="2"/>
  <c r="AI191" i="2"/>
  <c r="AE191" i="2"/>
  <c r="S190" i="2"/>
  <c r="M190" i="2"/>
  <c r="K190" i="2" s="1"/>
  <c r="S189" i="2"/>
  <c r="M189" i="2"/>
  <c r="S193" i="2"/>
  <c r="M193" i="2"/>
  <c r="K193" i="2" s="1"/>
  <c r="R321" i="2"/>
  <c r="AE321" i="2" s="1"/>
  <c r="R375" i="2"/>
  <c r="Q375" i="2"/>
  <c r="Q379" i="2"/>
  <c r="R379" i="2"/>
  <c r="AN321" i="2"/>
  <c r="AH321" i="2"/>
  <c r="AG321" i="2"/>
  <c r="AC321" i="2"/>
  <c r="AK321" i="2"/>
  <c r="AD321" i="2"/>
  <c r="AJ321" i="2"/>
  <c r="AF321" i="2"/>
  <c r="AI321" i="2"/>
  <c r="AL321" i="2"/>
  <c r="AM321" i="2"/>
  <c r="T328" i="2"/>
  <c r="AA328" i="2"/>
  <c r="Z328" i="2"/>
  <c r="Y328" i="2"/>
  <c r="W328" i="2"/>
  <c r="V328" i="2"/>
  <c r="U328" i="2"/>
  <c r="X328" i="2"/>
  <c r="T330" i="2"/>
  <c r="Y330" i="2"/>
  <c r="V330" i="2"/>
  <c r="U330" i="2"/>
  <c r="AA330" i="2"/>
  <c r="Z330" i="2"/>
  <c r="X330" i="2"/>
  <c r="W330" i="2"/>
  <c r="T329" i="2"/>
  <c r="AA329" i="2"/>
  <c r="Z329" i="2"/>
  <c r="Y329" i="2"/>
  <c r="W329" i="2"/>
  <c r="V329" i="2"/>
  <c r="U329" i="2"/>
  <c r="X329" i="2"/>
  <c r="T327" i="2"/>
  <c r="AA327" i="2"/>
  <c r="Z327" i="2"/>
  <c r="Y327" i="2"/>
  <c r="W327" i="2"/>
  <c r="V327" i="2"/>
  <c r="U327" i="2"/>
  <c r="X327" i="2"/>
  <c r="L328" i="2"/>
  <c r="M328" i="2"/>
  <c r="M330" i="2"/>
  <c r="L330" i="2"/>
  <c r="L329" i="2"/>
  <c r="M329" i="2"/>
  <c r="M327" i="2"/>
  <c r="L327" i="2"/>
  <c r="C19" i="3"/>
  <c r="N14" i="3"/>
  <c r="T38" i="2"/>
  <c r="AA38" i="2"/>
  <c r="U38" i="2"/>
  <c r="K38" i="2"/>
  <c r="AK38" i="2" s="1"/>
  <c r="V38" i="2"/>
  <c r="Z38" i="2"/>
  <c r="W38" i="2"/>
  <c r="Y38" i="2"/>
  <c r="W42" i="2"/>
  <c r="T42" i="2"/>
  <c r="Z42" i="2"/>
  <c r="V42" i="2"/>
  <c r="J287" i="2"/>
  <c r="Y42" i="2"/>
  <c r="J212" i="2"/>
  <c r="J203" i="2"/>
  <c r="AA42" i="2"/>
  <c r="K42" i="2"/>
  <c r="AD42" i="2" s="1"/>
  <c r="U42" i="2"/>
  <c r="W39" i="2"/>
  <c r="Z39" i="2"/>
  <c r="V39" i="2"/>
  <c r="Y39" i="2"/>
  <c r="X39" i="2"/>
  <c r="T39" i="2"/>
  <c r="AA39" i="2"/>
  <c r="U39" i="2"/>
  <c r="K39" i="2"/>
  <c r="P177" i="2"/>
  <c r="AC177" i="2" s="1"/>
  <c r="AD177" i="2"/>
  <c r="AF177" i="2"/>
  <c r="AJ177" i="2"/>
  <c r="AE177" i="2"/>
  <c r="AG177" i="2"/>
  <c r="AN177" i="2"/>
  <c r="AM177" i="2"/>
  <c r="AK177" i="2"/>
  <c r="AI177" i="2"/>
  <c r="AL177" i="2"/>
  <c r="AH177" i="2"/>
  <c r="Q100" i="2"/>
  <c r="K100" i="2"/>
  <c r="Q371" i="2"/>
  <c r="Q374" i="2"/>
  <c r="K158" i="2"/>
  <c r="Y158" i="2"/>
  <c r="AA158" i="2"/>
  <c r="X158" i="2"/>
  <c r="Z158" i="2"/>
  <c r="V158" i="2"/>
  <c r="T158" i="2"/>
  <c r="U158" i="2"/>
  <c r="W158" i="2"/>
  <c r="Q380" i="2"/>
  <c r="Q376" i="2"/>
  <c r="U30" i="3"/>
  <c r="Q377" i="2"/>
  <c r="K179" i="2"/>
  <c r="AJ179" i="2" s="1"/>
  <c r="Q378" i="2"/>
  <c r="L27" i="2"/>
  <c r="U45" i="3" s="1"/>
  <c r="S27" i="2"/>
  <c r="Q370" i="2"/>
  <c r="Z325" i="2"/>
  <c r="Y325" i="2"/>
  <c r="AA325" i="2"/>
  <c r="T325" i="2"/>
  <c r="W325" i="2"/>
  <c r="U325" i="2"/>
  <c r="V325" i="2"/>
  <c r="X325" i="2"/>
  <c r="L14" i="3"/>
  <c r="Q373" i="2"/>
  <c r="M325" i="2"/>
  <c r="K325" i="2" s="1"/>
  <c r="AE325" i="2" s="1"/>
  <c r="K154" i="2"/>
  <c r="AM154" i="2" s="1"/>
  <c r="J153" i="2"/>
  <c r="X159" i="2"/>
  <c r="Z159" i="2"/>
  <c r="W159" i="2"/>
  <c r="Y159" i="2"/>
  <c r="T159" i="2"/>
  <c r="U159" i="2"/>
  <c r="AA159" i="2"/>
  <c r="K159" i="2"/>
  <c r="V159" i="2"/>
  <c r="AC20" i="2"/>
  <c r="K41" i="2"/>
  <c r="U41" i="2"/>
  <c r="T41" i="2"/>
  <c r="Y41" i="2"/>
  <c r="Z41" i="2"/>
  <c r="W41" i="2"/>
  <c r="AA41" i="2"/>
  <c r="V41" i="2"/>
  <c r="X41" i="2"/>
  <c r="AL90" i="2"/>
  <c r="AD90" i="2"/>
  <c r="AJ90" i="2"/>
  <c r="AG90" i="2"/>
  <c r="AI90" i="2"/>
  <c r="AH90" i="2"/>
  <c r="AF90" i="2"/>
  <c r="AE90" i="2"/>
  <c r="AN90" i="2"/>
  <c r="AC90" i="2"/>
  <c r="AM90" i="2"/>
  <c r="AK90" i="2"/>
  <c r="AL407" i="2"/>
  <c r="AD407" i="2"/>
  <c r="AK407" i="2"/>
  <c r="AC407" i="2"/>
  <c r="AJ407" i="2"/>
  <c r="AI407" i="2"/>
  <c r="AH407" i="2"/>
  <c r="AG407" i="2"/>
  <c r="AF407" i="2"/>
  <c r="AE407" i="2"/>
  <c r="AN407" i="2"/>
  <c r="AM407" i="2"/>
  <c r="J280" i="2"/>
  <c r="AH281" i="2"/>
  <c r="AG281" i="2"/>
  <c r="AN281" i="2"/>
  <c r="AF281" i="2"/>
  <c r="AK281" i="2"/>
  <c r="AC281" i="2"/>
  <c r="AE281" i="2"/>
  <c r="AD281" i="2"/>
  <c r="AL281" i="2"/>
  <c r="AM281" i="2"/>
  <c r="AJ281" i="2"/>
  <c r="AI281" i="2"/>
  <c r="AL296" i="2"/>
  <c r="AD296" i="2"/>
  <c r="AK296" i="2"/>
  <c r="AC296" i="2"/>
  <c r="AJ296" i="2"/>
  <c r="AG296" i="2"/>
  <c r="AI296" i="2"/>
  <c r="AH296" i="2"/>
  <c r="AF296" i="2"/>
  <c r="AE296" i="2"/>
  <c r="AN296" i="2"/>
  <c r="AM296" i="2"/>
  <c r="J344" i="2"/>
  <c r="AL345" i="2"/>
  <c r="AD345" i="2"/>
  <c r="AK345" i="2"/>
  <c r="AC345" i="2"/>
  <c r="AJ345" i="2"/>
  <c r="AG345" i="2"/>
  <c r="AI345" i="2"/>
  <c r="AH345" i="2"/>
  <c r="AF345" i="2"/>
  <c r="AE345" i="2"/>
  <c r="AN345" i="2"/>
  <c r="AM345" i="2"/>
  <c r="AL279" i="2"/>
  <c r="AD279" i="2"/>
  <c r="AK279" i="2"/>
  <c r="AC279" i="2"/>
  <c r="AJ279" i="2"/>
  <c r="AG279" i="2"/>
  <c r="AN279" i="2"/>
  <c r="AM279" i="2"/>
  <c r="AH279" i="2"/>
  <c r="AF279" i="2"/>
  <c r="AE279" i="2"/>
  <c r="AI279" i="2"/>
  <c r="AL302" i="2"/>
  <c r="AD302" i="2"/>
  <c r="AK302" i="2"/>
  <c r="AC302" i="2"/>
  <c r="AJ302" i="2"/>
  <c r="AG302" i="2"/>
  <c r="AN302" i="2"/>
  <c r="AM302" i="2"/>
  <c r="AH302" i="2"/>
  <c r="AE302" i="2"/>
  <c r="AI302" i="2"/>
  <c r="AF302" i="2"/>
  <c r="AH298" i="2"/>
  <c r="AG298" i="2"/>
  <c r="AN298" i="2"/>
  <c r="AF298" i="2"/>
  <c r="AK298" i="2"/>
  <c r="AC298" i="2"/>
  <c r="AM298" i="2"/>
  <c r="AL298" i="2"/>
  <c r="AJ298" i="2"/>
  <c r="AI298" i="2"/>
  <c r="AD298" i="2"/>
  <c r="AE298" i="2"/>
  <c r="AC18" i="2"/>
  <c r="AH92" i="2"/>
  <c r="AN92" i="2"/>
  <c r="AF92" i="2"/>
  <c r="AK92" i="2"/>
  <c r="AC92" i="2"/>
  <c r="AJ92" i="2"/>
  <c r="AI92" i="2"/>
  <c r="AG92" i="2"/>
  <c r="AE92" i="2"/>
  <c r="AM92" i="2"/>
  <c r="AL92" i="2"/>
  <c r="AD92" i="2"/>
  <c r="AH235" i="2"/>
  <c r="AG235" i="2"/>
  <c r="AK235" i="2"/>
  <c r="AC235" i="2"/>
  <c r="AL235" i="2"/>
  <c r="AJ235" i="2"/>
  <c r="AI235" i="2"/>
  <c r="AD235" i="2"/>
  <c r="AN235" i="2"/>
  <c r="AM235" i="2"/>
  <c r="AF235" i="2"/>
  <c r="AE235" i="2"/>
  <c r="AH405" i="2"/>
  <c r="AG405" i="2"/>
  <c r="AN405" i="2"/>
  <c r="AF405" i="2"/>
  <c r="AM405" i="2"/>
  <c r="AE405" i="2"/>
  <c r="AL405" i="2"/>
  <c r="AD405" i="2"/>
  <c r="AK405" i="2"/>
  <c r="AC405" i="2"/>
  <c r="AJ405" i="2"/>
  <c r="AI405" i="2"/>
  <c r="AL273" i="2"/>
  <c r="AD273" i="2"/>
  <c r="AK273" i="2"/>
  <c r="AC273" i="2"/>
  <c r="AG273" i="2"/>
  <c r="AN273" i="2"/>
  <c r="AM273" i="2"/>
  <c r="AJ273" i="2"/>
  <c r="AI273" i="2"/>
  <c r="AF273" i="2"/>
  <c r="AH273" i="2"/>
  <c r="AE273" i="2"/>
  <c r="J230" i="2"/>
  <c r="AL231" i="2"/>
  <c r="AD231" i="2"/>
  <c r="AK231" i="2"/>
  <c r="AC231" i="2"/>
  <c r="AG231" i="2"/>
  <c r="AJ231" i="2"/>
  <c r="AI231" i="2"/>
  <c r="AH231" i="2"/>
  <c r="AN231" i="2"/>
  <c r="AM231" i="2"/>
  <c r="AF231" i="2"/>
  <c r="AE231" i="2"/>
  <c r="J400" i="2"/>
  <c r="AL401" i="2"/>
  <c r="AD401" i="2"/>
  <c r="AK401" i="2"/>
  <c r="AC401" i="2"/>
  <c r="AJ401" i="2"/>
  <c r="AI401" i="2"/>
  <c r="AH401" i="2"/>
  <c r="AG401" i="2"/>
  <c r="AM401" i="2"/>
  <c r="AN401" i="2"/>
  <c r="AF401" i="2"/>
  <c r="AE401" i="2"/>
  <c r="AI20" i="2"/>
  <c r="AG20" i="2"/>
  <c r="AN20" i="2"/>
  <c r="AH20" i="2"/>
  <c r="AF20" i="2"/>
  <c r="AJ20" i="2"/>
  <c r="AE20" i="2"/>
  <c r="AD20" i="2"/>
  <c r="AK20" i="2"/>
  <c r="AM20" i="2"/>
  <c r="AL20" i="2"/>
  <c r="AL237" i="2"/>
  <c r="AD237" i="2"/>
  <c r="AK237" i="2"/>
  <c r="AC237" i="2"/>
  <c r="AG237" i="2"/>
  <c r="AM237" i="2"/>
  <c r="AJ237" i="2"/>
  <c r="AI237" i="2"/>
  <c r="AH237" i="2"/>
  <c r="AE237" i="2"/>
  <c r="AN237" i="2"/>
  <c r="AF237" i="2"/>
  <c r="J336" i="2"/>
  <c r="AL337" i="2"/>
  <c r="AD337" i="2"/>
  <c r="AK337" i="2"/>
  <c r="AC337" i="2"/>
  <c r="AJ337" i="2"/>
  <c r="AG337" i="2"/>
  <c r="AI337" i="2"/>
  <c r="AH337" i="2"/>
  <c r="AF337" i="2"/>
  <c r="AE337" i="2"/>
  <c r="AM337" i="2"/>
  <c r="AN337" i="2"/>
  <c r="J385" i="2"/>
  <c r="AL386" i="2"/>
  <c r="AD386" i="2"/>
  <c r="AK386" i="2"/>
  <c r="AC386" i="2"/>
  <c r="AJ386" i="2"/>
  <c r="AI386" i="2"/>
  <c r="AH386" i="2"/>
  <c r="AG386" i="2"/>
  <c r="AN386" i="2"/>
  <c r="AM386" i="2"/>
  <c r="AF386" i="2"/>
  <c r="AE386" i="2"/>
  <c r="AH275" i="2"/>
  <c r="AG275" i="2"/>
  <c r="AK275" i="2"/>
  <c r="AC275" i="2"/>
  <c r="AN275" i="2"/>
  <c r="AM275" i="2"/>
  <c r="AL275" i="2"/>
  <c r="AJ275" i="2"/>
  <c r="AF275" i="2"/>
  <c r="AI275" i="2"/>
  <c r="AE275" i="2"/>
  <c r="AD275" i="2"/>
  <c r="AL200" i="2"/>
  <c r="AD200" i="2"/>
  <c r="AK200" i="2"/>
  <c r="AC200" i="2"/>
  <c r="AG200" i="2"/>
  <c r="AI200" i="2"/>
  <c r="AH200" i="2"/>
  <c r="AF200" i="2"/>
  <c r="AN200" i="2"/>
  <c r="AM200" i="2"/>
  <c r="AJ200" i="2"/>
  <c r="AE200" i="2"/>
  <c r="AH304" i="2"/>
  <c r="AG304" i="2"/>
  <c r="AN304" i="2"/>
  <c r="AF304" i="2"/>
  <c r="AK304" i="2"/>
  <c r="AC304" i="2"/>
  <c r="AE304" i="2"/>
  <c r="AD304" i="2"/>
  <c r="AL304" i="2"/>
  <c r="AM304" i="2"/>
  <c r="AJ304" i="2"/>
  <c r="AI304" i="2"/>
  <c r="AH229" i="2"/>
  <c r="AG229" i="2"/>
  <c r="AK229" i="2"/>
  <c r="AC229" i="2"/>
  <c r="AJ229" i="2"/>
  <c r="AI229" i="2"/>
  <c r="AF229" i="2"/>
  <c r="AN229" i="2"/>
  <c r="AM229" i="2"/>
  <c r="AL229" i="2"/>
  <c r="AE229" i="2"/>
  <c r="AD229" i="2"/>
  <c r="AH335" i="2"/>
  <c r="AG335" i="2"/>
  <c r="AN335" i="2"/>
  <c r="AF335" i="2"/>
  <c r="AK335" i="2"/>
  <c r="AC335" i="2"/>
  <c r="AE335" i="2"/>
  <c r="AD335" i="2"/>
  <c r="AL335" i="2"/>
  <c r="AM335" i="2"/>
  <c r="AJ335" i="2"/>
  <c r="AI335" i="2"/>
  <c r="AI18" i="2"/>
  <c r="AN18" i="2"/>
  <c r="AH18" i="2"/>
  <c r="AG18" i="2"/>
  <c r="AF18" i="2"/>
  <c r="AM18" i="2"/>
  <c r="AL18" i="2"/>
  <c r="AJ18" i="2"/>
  <c r="AK18" i="2"/>
  <c r="AE18" i="2"/>
  <c r="AD18" i="2"/>
  <c r="K31" i="2"/>
  <c r="K184" i="2"/>
  <c r="K384" i="2"/>
  <c r="K163" i="2"/>
  <c r="K32" i="2"/>
  <c r="K170" i="2"/>
  <c r="K34" i="2"/>
  <c r="K167" i="2"/>
  <c r="K165" i="2"/>
  <c r="K166" i="2"/>
  <c r="K40" i="2"/>
  <c r="K343" i="2"/>
  <c r="K161" i="2"/>
  <c r="K169" i="2"/>
  <c r="K171" i="2"/>
  <c r="K178" i="2"/>
  <c r="K33" i="2"/>
  <c r="K35" i="2"/>
  <c r="K22" i="2"/>
  <c r="K97" i="2"/>
  <c r="K342" i="2"/>
  <c r="K168" i="2"/>
  <c r="M80" i="2"/>
  <c r="L80" i="2"/>
  <c r="M319" i="2"/>
  <c r="J326" i="2"/>
  <c r="M83" i="2"/>
  <c r="L83" i="2"/>
  <c r="L85" i="2"/>
  <c r="M85" i="2"/>
  <c r="L397" i="2"/>
  <c r="M397" i="2"/>
  <c r="M81" i="2"/>
  <c r="L81" i="2"/>
  <c r="L78" i="2"/>
  <c r="M78" i="2"/>
  <c r="M84" i="2"/>
  <c r="L84" i="2"/>
  <c r="M86" i="2"/>
  <c r="L86" i="2"/>
  <c r="L398" i="2"/>
  <c r="M398" i="2"/>
  <c r="L79" i="2"/>
  <c r="M79" i="2"/>
  <c r="L399" i="2"/>
  <c r="M399" i="2"/>
  <c r="P24" i="2"/>
  <c r="K24" i="2"/>
  <c r="K186" i="2"/>
  <c r="C13" i="3"/>
  <c r="K162" i="2"/>
  <c r="P399" i="2"/>
  <c r="K341" i="2"/>
  <c r="S26" i="2"/>
  <c r="K26" i="2"/>
  <c r="K198" i="2"/>
  <c r="K176" i="2"/>
  <c r="Q85" i="2"/>
  <c r="K25" i="2"/>
  <c r="K185" i="2"/>
  <c r="K272" i="2"/>
  <c r="Q102" i="2"/>
  <c r="K102" i="2"/>
  <c r="K37" i="2"/>
  <c r="Y160" i="2"/>
  <c r="K160" i="2"/>
  <c r="K197" i="2"/>
  <c r="Q99" i="2"/>
  <c r="K99" i="2"/>
  <c r="K17" i="2"/>
  <c r="K234" i="2"/>
  <c r="K278" i="2"/>
  <c r="K301" i="2"/>
  <c r="K297" i="2"/>
  <c r="K404" i="2"/>
  <c r="K303" i="2"/>
  <c r="K236" i="2"/>
  <c r="K334" i="2"/>
  <c r="K91" i="2"/>
  <c r="K274" i="2"/>
  <c r="K199" i="2"/>
  <c r="K228" i="2"/>
  <c r="K89" i="2"/>
  <c r="K406" i="2"/>
  <c r="K344" i="2"/>
  <c r="K295" i="2"/>
  <c r="K400" i="2"/>
  <c r="R10" i="3"/>
  <c r="H10" i="3"/>
  <c r="P397" i="2"/>
  <c r="P398" i="2"/>
  <c r="J130" i="2"/>
  <c r="Y33" i="2"/>
  <c r="X33" i="2"/>
  <c r="W33" i="2"/>
  <c r="V33" i="2"/>
  <c r="U33" i="2"/>
  <c r="T33" i="2"/>
  <c r="Z33" i="2"/>
  <c r="AA33" i="2"/>
  <c r="I9" i="3"/>
  <c r="Y35" i="2"/>
  <c r="X35" i="2"/>
  <c r="W35" i="2"/>
  <c r="V35" i="2"/>
  <c r="U35" i="2"/>
  <c r="T35" i="2"/>
  <c r="Z35" i="2"/>
  <c r="AA35" i="2"/>
  <c r="B21" i="3"/>
  <c r="Y34" i="2"/>
  <c r="X34" i="2"/>
  <c r="W34" i="2"/>
  <c r="V34" i="2"/>
  <c r="U34" i="2"/>
  <c r="T34" i="2"/>
  <c r="Z34" i="2"/>
  <c r="AA34" i="2"/>
  <c r="Y32" i="2"/>
  <c r="X32" i="2"/>
  <c r="W32" i="2"/>
  <c r="V32" i="2"/>
  <c r="U32" i="2"/>
  <c r="T32" i="2"/>
  <c r="Z32" i="2"/>
  <c r="AA32" i="2"/>
  <c r="Y31" i="2"/>
  <c r="X31" i="2"/>
  <c r="W31" i="2"/>
  <c r="V31" i="2"/>
  <c r="U31" i="2"/>
  <c r="T31" i="2"/>
  <c r="Z31" i="2"/>
  <c r="AA31" i="2"/>
  <c r="W384" i="2"/>
  <c r="X384" i="2"/>
  <c r="Y384" i="2"/>
  <c r="Z384" i="2"/>
  <c r="AA384" i="2"/>
  <c r="T384" i="2"/>
  <c r="V384" i="2"/>
  <c r="U384" i="2"/>
  <c r="B19" i="3"/>
  <c r="C22" i="3"/>
  <c r="J6" i="3"/>
  <c r="B26" i="3"/>
  <c r="C20" i="3"/>
  <c r="B22" i="3"/>
  <c r="S272" i="2"/>
  <c r="B14" i="3"/>
  <c r="H12" i="3"/>
  <c r="C21" i="3"/>
  <c r="U160" i="2"/>
  <c r="Z160" i="2"/>
  <c r="T160" i="2"/>
  <c r="V160" i="2"/>
  <c r="X160" i="2"/>
  <c r="AA160" i="2"/>
  <c r="W160" i="2"/>
  <c r="G17" i="3"/>
  <c r="J372" i="2"/>
  <c r="M375" i="2" s="1"/>
  <c r="L375" i="2" s="1"/>
  <c r="K375" i="2" s="1"/>
  <c r="J391" i="2"/>
  <c r="L16" i="3"/>
  <c r="Q80" i="2"/>
  <c r="S16" i="3"/>
  <c r="R16" i="3"/>
  <c r="S15" i="3"/>
  <c r="R15" i="3"/>
  <c r="U343" i="2"/>
  <c r="Z343" i="2"/>
  <c r="V343" i="2"/>
  <c r="T343" i="2"/>
  <c r="AA343" i="2"/>
  <c r="Y343" i="2"/>
  <c r="X343" i="2"/>
  <c r="W343" i="2"/>
  <c r="U342" i="2"/>
  <c r="AA342" i="2"/>
  <c r="Z342" i="2"/>
  <c r="W342" i="2"/>
  <c r="V342" i="2"/>
  <c r="T342" i="2"/>
  <c r="Y342" i="2"/>
  <c r="X342" i="2"/>
  <c r="J353" i="2"/>
  <c r="U341" i="2"/>
  <c r="Z341" i="2"/>
  <c r="V341" i="2"/>
  <c r="T341" i="2"/>
  <c r="AA341" i="2"/>
  <c r="Y341" i="2"/>
  <c r="X341" i="2"/>
  <c r="W341" i="2"/>
  <c r="L15" i="3"/>
  <c r="B9" i="3"/>
  <c r="J406" i="2"/>
  <c r="G9" i="3"/>
  <c r="G7" i="3"/>
  <c r="G16" i="3"/>
  <c r="I16" i="3"/>
  <c r="R6" i="3"/>
  <c r="N9" i="3"/>
  <c r="S12" i="3"/>
  <c r="L10" i="3"/>
  <c r="I7" i="3"/>
  <c r="R13" i="3"/>
  <c r="S13" i="3"/>
  <c r="J320" i="2"/>
  <c r="I14" i="3"/>
  <c r="L6" i="3"/>
  <c r="S10" i="3"/>
  <c r="G6" i="3"/>
  <c r="P176" i="2"/>
  <c r="G10" i="3"/>
  <c r="I10" i="3"/>
  <c r="S6" i="3"/>
  <c r="R12" i="3"/>
  <c r="C14" i="3"/>
  <c r="M9" i="3"/>
  <c r="L9" i="3"/>
  <c r="N6" i="3"/>
  <c r="S8" i="3"/>
  <c r="R8" i="3"/>
  <c r="S11" i="3"/>
  <c r="G14" i="3"/>
  <c r="R319" i="2"/>
  <c r="R11" i="3"/>
  <c r="B13" i="3"/>
  <c r="B8" i="3"/>
  <c r="J311" i="2"/>
  <c r="V197" i="2"/>
  <c r="W197" i="2"/>
  <c r="X197" i="2"/>
  <c r="T197" i="2"/>
  <c r="U197" i="2"/>
  <c r="Y197" i="2"/>
  <c r="Z197" i="2"/>
  <c r="AA197" i="2"/>
  <c r="T198" i="2"/>
  <c r="U198" i="2"/>
  <c r="V198" i="2"/>
  <c r="W198" i="2"/>
  <c r="X198" i="2"/>
  <c r="Y198" i="2"/>
  <c r="Z198" i="2"/>
  <c r="AA198" i="2"/>
  <c r="J249" i="2"/>
  <c r="J23" i="2"/>
  <c r="S97" i="2"/>
  <c r="V40" i="2"/>
  <c r="W40" i="2"/>
  <c r="X40" i="2"/>
  <c r="Y40" i="2"/>
  <c r="AA40" i="2"/>
  <c r="Z40" i="2"/>
  <c r="T40" i="2"/>
  <c r="U40" i="2"/>
  <c r="U165" i="2"/>
  <c r="V165" i="2"/>
  <c r="W165" i="2"/>
  <c r="T165" i="2"/>
  <c r="X165" i="2"/>
  <c r="AA165" i="2"/>
  <c r="Y165" i="2"/>
  <c r="Z165" i="2"/>
  <c r="W167" i="2"/>
  <c r="V167" i="2"/>
  <c r="X167" i="2"/>
  <c r="T167" i="2"/>
  <c r="Y167" i="2"/>
  <c r="Z167" i="2"/>
  <c r="AA167" i="2"/>
  <c r="U167" i="2"/>
  <c r="V166" i="2"/>
  <c r="T166" i="2"/>
  <c r="W166" i="2"/>
  <c r="X166" i="2"/>
  <c r="Y166" i="2"/>
  <c r="AA166" i="2"/>
  <c r="U166" i="2"/>
  <c r="Z166" i="2"/>
  <c r="X168" i="2"/>
  <c r="Y168" i="2"/>
  <c r="Z168" i="2"/>
  <c r="T168" i="2"/>
  <c r="AA168" i="2"/>
  <c r="U168" i="2"/>
  <c r="V168" i="2"/>
  <c r="W168" i="2"/>
  <c r="U37" i="2"/>
  <c r="V37" i="2"/>
  <c r="W37" i="2"/>
  <c r="X37" i="2"/>
  <c r="AA37" i="2"/>
  <c r="Y37" i="2"/>
  <c r="Z37" i="2"/>
  <c r="W162" i="2"/>
  <c r="N43" i="3" s="1"/>
  <c r="X162" i="2"/>
  <c r="O43" i="3" s="1"/>
  <c r="Y162" i="2"/>
  <c r="P43" i="3" s="1"/>
  <c r="Z162" i="2"/>
  <c r="Q43" i="3" s="1"/>
  <c r="T162" i="2"/>
  <c r="AA162" i="2"/>
  <c r="R43" i="3" s="1"/>
  <c r="U162" i="2"/>
  <c r="L43" i="3" s="1"/>
  <c r="V162" i="2"/>
  <c r="M43" i="3" s="1"/>
  <c r="Y169" i="2"/>
  <c r="Z169" i="2"/>
  <c r="AA169" i="2"/>
  <c r="X169" i="2"/>
  <c r="T169" i="2"/>
  <c r="U169" i="2"/>
  <c r="V169" i="2"/>
  <c r="W169" i="2"/>
  <c r="V161" i="2"/>
  <c r="U161" i="2"/>
  <c r="W161" i="2"/>
  <c r="X161" i="2"/>
  <c r="Y161" i="2"/>
  <c r="Z161" i="2"/>
  <c r="AA161" i="2"/>
  <c r="T161" i="2"/>
  <c r="T171" i="2"/>
  <c r="U171" i="2"/>
  <c r="V171" i="2"/>
  <c r="Z171" i="2"/>
  <c r="W171" i="2"/>
  <c r="X171" i="2"/>
  <c r="Y171" i="2"/>
  <c r="AA171" i="2"/>
  <c r="X163" i="2"/>
  <c r="Y163" i="2"/>
  <c r="Z163" i="2"/>
  <c r="AA163" i="2"/>
  <c r="T163" i="2"/>
  <c r="U163" i="2"/>
  <c r="V163" i="2"/>
  <c r="W163" i="2"/>
  <c r="Z170" i="2"/>
  <c r="AA170" i="2"/>
  <c r="U170" i="2"/>
  <c r="X170" i="2"/>
  <c r="V170" i="2"/>
  <c r="T170" i="2"/>
  <c r="W170" i="2"/>
  <c r="Y170" i="2"/>
  <c r="C10" i="3"/>
  <c r="J101" i="2"/>
  <c r="I8" i="3" s="1"/>
  <c r="Q17" i="2"/>
  <c r="B7" i="3"/>
  <c r="C8" i="3"/>
  <c r="Q86" i="2"/>
  <c r="Q79" i="2"/>
  <c r="Q78" i="2"/>
  <c r="B10" i="3"/>
  <c r="Q81" i="2"/>
  <c r="Q84" i="2"/>
  <c r="C9" i="3"/>
  <c r="Q83" i="2"/>
  <c r="Q22" i="2"/>
  <c r="R22" i="2"/>
  <c r="S22" i="2"/>
  <c r="P22" i="2"/>
  <c r="T37" i="2"/>
  <c r="J55" i="2"/>
  <c r="J274" i="2"/>
  <c r="J236" i="2"/>
  <c r="J297" i="2"/>
  <c r="J82" i="2"/>
  <c r="J164" i="2"/>
  <c r="J36" i="2"/>
  <c r="J183" i="2"/>
  <c r="J91" i="2"/>
  <c r="J199" i="2"/>
  <c r="J303" i="2"/>
  <c r="K107" i="2" l="1"/>
  <c r="L105" i="2"/>
  <c r="K112" i="2"/>
  <c r="AL112" i="2" s="1"/>
  <c r="AF114" i="2"/>
  <c r="AE114" i="2"/>
  <c r="AD114" i="2"/>
  <c r="AC114" i="2"/>
  <c r="AF113" i="2"/>
  <c r="AD113" i="2"/>
  <c r="AE113" i="2"/>
  <c r="AC113" i="2"/>
  <c r="AI114" i="2"/>
  <c r="AK114" i="2"/>
  <c r="AG192" i="2"/>
  <c r="AK112" i="2"/>
  <c r="K115" i="2"/>
  <c r="AL115" i="2" s="1"/>
  <c r="AJ192" i="2"/>
  <c r="AL111" i="2"/>
  <c r="AL192" i="2"/>
  <c r="AG109" i="2"/>
  <c r="AM111" i="2"/>
  <c r="AL113" i="2"/>
  <c r="AL114" i="2"/>
  <c r="K106" i="2"/>
  <c r="K105" i="2" s="1"/>
  <c r="AK111" i="2"/>
  <c r="AM113" i="2"/>
  <c r="AM109" i="2"/>
  <c r="AN111" i="2"/>
  <c r="AG113" i="2"/>
  <c r="AN109" i="2"/>
  <c r="AH113" i="2"/>
  <c r="AN114" i="2"/>
  <c r="AI113" i="2"/>
  <c r="AJ114" i="2"/>
  <c r="AM114" i="2"/>
  <c r="AN192" i="2"/>
  <c r="AJ111" i="2"/>
  <c r="AN113" i="2"/>
  <c r="AJ113" i="2"/>
  <c r="AH114" i="2"/>
  <c r="AK113" i="2"/>
  <c r="AG114" i="2"/>
  <c r="AG110" i="2"/>
  <c r="AH110" i="2"/>
  <c r="AN110" i="2"/>
  <c r="AG111" i="2"/>
  <c r="AN107" i="2"/>
  <c r="AG112" i="2"/>
  <c r="AH109" i="2"/>
  <c r="AH111" i="2"/>
  <c r="L103" i="2"/>
  <c r="AC112" i="2"/>
  <c r="AF112" i="2"/>
  <c r="AE112" i="2"/>
  <c r="AI109" i="2"/>
  <c r="U26" i="3"/>
  <c r="AN112" i="2"/>
  <c r="AJ109" i="2"/>
  <c r="AI110" i="2"/>
  <c r="AH112" i="2"/>
  <c r="AK109" i="2"/>
  <c r="M105" i="2"/>
  <c r="V26" i="3"/>
  <c r="AM110" i="2"/>
  <c r="AL109" i="2"/>
  <c r="AF110" i="2"/>
  <c r="AE110" i="2"/>
  <c r="AD110" i="2"/>
  <c r="AC110" i="2"/>
  <c r="AJ110" i="2"/>
  <c r="AF111" i="2"/>
  <c r="AE111" i="2"/>
  <c r="AC111" i="2"/>
  <c r="AD111" i="2"/>
  <c r="AL110" i="2"/>
  <c r="AF109" i="2"/>
  <c r="AE109" i="2"/>
  <c r="AC109" i="2"/>
  <c r="AD109" i="2"/>
  <c r="AH192" i="2"/>
  <c r="AK110" i="2"/>
  <c r="AI112" i="2"/>
  <c r="AI111" i="2"/>
  <c r="AL107" i="2"/>
  <c r="AM107" i="2"/>
  <c r="AF192" i="2"/>
  <c r="AD180" i="2"/>
  <c r="AK107" i="2"/>
  <c r="AK192" i="2"/>
  <c r="AG107" i="2"/>
  <c r="AI192" i="2"/>
  <c r="AH107" i="2"/>
  <c r="AF107" i="2"/>
  <c r="AE107" i="2"/>
  <c r="AD107" i="2"/>
  <c r="AC107" i="2"/>
  <c r="AM192" i="2"/>
  <c r="AI107" i="2"/>
  <c r="AD192" i="2"/>
  <c r="AJ107" i="2"/>
  <c r="AC192" i="2"/>
  <c r="AK180" i="2"/>
  <c r="AJ180" i="2"/>
  <c r="AI180" i="2"/>
  <c r="AM180" i="2"/>
  <c r="AC180" i="2"/>
  <c r="AF180" i="2"/>
  <c r="AN180" i="2"/>
  <c r="AL180" i="2"/>
  <c r="AH180" i="2"/>
  <c r="AE180" i="2"/>
  <c r="AG180" i="2"/>
  <c r="AM181" i="2"/>
  <c r="AL181" i="2"/>
  <c r="AH181" i="2"/>
  <c r="AG181" i="2"/>
  <c r="AF181" i="2"/>
  <c r="AK181" i="2"/>
  <c r="AN181" i="2"/>
  <c r="AJ181" i="2"/>
  <c r="AE181" i="2"/>
  <c r="AC181" i="2"/>
  <c r="AI181" i="2"/>
  <c r="AD181" i="2"/>
  <c r="AN188" i="2"/>
  <c r="AD188" i="2"/>
  <c r="AM188" i="2"/>
  <c r="AL188" i="2"/>
  <c r="AK188" i="2"/>
  <c r="AC188" i="2"/>
  <c r="AG188" i="2"/>
  <c r="AJ188" i="2"/>
  <c r="AI188" i="2"/>
  <c r="AE188" i="2"/>
  <c r="AH188" i="2"/>
  <c r="AF188" i="2"/>
  <c r="AN375" i="2"/>
  <c r="AM375" i="2"/>
  <c r="AL375" i="2"/>
  <c r="AK375" i="2"/>
  <c r="AJ375" i="2"/>
  <c r="AI375" i="2"/>
  <c r="AH375" i="2"/>
  <c r="AG375" i="2"/>
  <c r="AF375" i="2"/>
  <c r="AC375" i="2"/>
  <c r="AD375" i="2"/>
  <c r="AE375" i="2"/>
  <c r="M378" i="2"/>
  <c r="L378" i="2" s="1"/>
  <c r="M379" i="2"/>
  <c r="L379" i="2" s="1"/>
  <c r="K379" i="2" s="1"/>
  <c r="K328" i="2"/>
  <c r="AI328" i="2" s="1"/>
  <c r="K327" i="2"/>
  <c r="AN327" i="2" s="1"/>
  <c r="D19" i="3"/>
  <c r="K329" i="2"/>
  <c r="AJ329" i="2" s="1"/>
  <c r="K330" i="2"/>
  <c r="AJ38" i="2"/>
  <c r="AM38" i="2"/>
  <c r="AE38" i="2"/>
  <c r="AF38" i="2"/>
  <c r="AC38" i="2"/>
  <c r="AI38" i="2"/>
  <c r="AM197" i="2"/>
  <c r="AH38" i="2"/>
  <c r="AG38" i="2"/>
  <c r="AL38" i="2"/>
  <c r="AN38" i="2"/>
  <c r="AD38" i="2"/>
  <c r="AN42" i="2"/>
  <c r="AJ158" i="2"/>
  <c r="AL42" i="2"/>
  <c r="AH42" i="2"/>
  <c r="AK41" i="2"/>
  <c r="AM40" i="2"/>
  <c r="AN39" i="2"/>
  <c r="AG39" i="2"/>
  <c r="AM42" i="2"/>
  <c r="AK39" i="2"/>
  <c r="AG42" i="2"/>
  <c r="AL39" i="2"/>
  <c r="AE42" i="2"/>
  <c r="AK42" i="2"/>
  <c r="AI39" i="2"/>
  <c r="AF42" i="2"/>
  <c r="AJ42" i="2"/>
  <c r="AM39" i="2"/>
  <c r="AC42" i="2"/>
  <c r="AC39" i="2"/>
  <c r="AE39" i="2"/>
  <c r="AD39" i="2"/>
  <c r="AF39" i="2"/>
  <c r="AJ39" i="2"/>
  <c r="AI42" i="2"/>
  <c r="AH39" i="2"/>
  <c r="AI197" i="2"/>
  <c r="AE154" i="2"/>
  <c r="AJ197" i="2"/>
  <c r="AL100" i="2"/>
  <c r="AH100" i="2"/>
  <c r="AK100" i="2"/>
  <c r="AG100" i="2"/>
  <c r="AM100" i="2"/>
  <c r="AC100" i="2"/>
  <c r="AN100" i="2"/>
  <c r="AF100" i="2"/>
  <c r="AE100" i="2"/>
  <c r="AJ100" i="2"/>
  <c r="AI100" i="2"/>
  <c r="AD100" i="2"/>
  <c r="AI167" i="2"/>
  <c r="AL197" i="2"/>
  <c r="G42" i="3"/>
  <c r="AH197" i="2"/>
  <c r="AG197" i="2"/>
  <c r="J42" i="3"/>
  <c r="AL161" i="2"/>
  <c r="U42" i="3"/>
  <c r="K27" i="2"/>
  <c r="T45" i="3" s="1"/>
  <c r="K42" i="3"/>
  <c r="V42" i="3"/>
  <c r="L42" i="3"/>
  <c r="M42" i="3"/>
  <c r="T30" i="3"/>
  <c r="T43" i="3"/>
  <c r="AG162" i="2"/>
  <c r="K43" i="3"/>
  <c r="S43" i="3" s="1"/>
  <c r="N42" i="3"/>
  <c r="O42" i="3"/>
  <c r="I42" i="3"/>
  <c r="P42" i="3"/>
  <c r="R42" i="3"/>
  <c r="J43" i="3"/>
  <c r="Q42" i="3"/>
  <c r="AN198" i="2"/>
  <c r="AL40" i="2"/>
  <c r="AK40" i="2"/>
  <c r="U24" i="3"/>
  <c r="AH154" i="2"/>
  <c r="AK154" i="2"/>
  <c r="U35" i="3"/>
  <c r="AD154" i="2"/>
  <c r="AG154" i="2"/>
  <c r="AC154" i="2"/>
  <c r="AD179" i="2"/>
  <c r="K324" i="2"/>
  <c r="AF154" i="2"/>
  <c r="AF179" i="2"/>
  <c r="K153" i="2"/>
  <c r="U33" i="3"/>
  <c r="AN179" i="2"/>
  <c r="AG158" i="2"/>
  <c r="M376" i="2"/>
  <c r="L376" i="2" s="1"/>
  <c r="AL341" i="2"/>
  <c r="AG179" i="2"/>
  <c r="AH158" i="2"/>
  <c r="V35" i="3"/>
  <c r="T27" i="3"/>
  <c r="AK179" i="2"/>
  <c r="AI158" i="2"/>
  <c r="M374" i="2"/>
  <c r="L374" i="2" s="1"/>
  <c r="AM179" i="2"/>
  <c r="M377" i="2"/>
  <c r="L377" i="2" s="1"/>
  <c r="M380" i="2"/>
  <c r="L380" i="2" s="1"/>
  <c r="AM158" i="2"/>
  <c r="AE179" i="2"/>
  <c r="AH179" i="2"/>
  <c r="AK158" i="2"/>
  <c r="AC179" i="2"/>
  <c r="AI179" i="2"/>
  <c r="M373" i="2"/>
  <c r="AN158" i="2"/>
  <c r="V25" i="3"/>
  <c r="AL179" i="2"/>
  <c r="AL158" i="2"/>
  <c r="K189" i="2"/>
  <c r="AK189" i="2" s="1"/>
  <c r="V28" i="3"/>
  <c r="U25" i="3"/>
  <c r="V33" i="3"/>
  <c r="AE158" i="2"/>
  <c r="AD158" i="2"/>
  <c r="AF158" i="2"/>
  <c r="AC158" i="2"/>
  <c r="AM325" i="2"/>
  <c r="AI325" i="2"/>
  <c r="AL325" i="2"/>
  <c r="AH325" i="2"/>
  <c r="AN325" i="2"/>
  <c r="AF325" i="2"/>
  <c r="AG325" i="2"/>
  <c r="AD325" i="2"/>
  <c r="AK325" i="2"/>
  <c r="AC325" i="2"/>
  <c r="AJ325" i="2"/>
  <c r="AJ154" i="2"/>
  <c r="AI154" i="2"/>
  <c r="AN154" i="2"/>
  <c r="AL154" i="2"/>
  <c r="AG341" i="2"/>
  <c r="AK197" i="2"/>
  <c r="AI341" i="2"/>
  <c r="AM33" i="2"/>
  <c r="AM341" i="2"/>
  <c r="AH341" i="2"/>
  <c r="AN197" i="2"/>
  <c r="AN40" i="2"/>
  <c r="AI40" i="2"/>
  <c r="AH40" i="2"/>
  <c r="AJ40" i="2"/>
  <c r="AG40" i="2"/>
  <c r="AJ32" i="2"/>
  <c r="AI32" i="2"/>
  <c r="AN33" i="2"/>
  <c r="AK32" i="2"/>
  <c r="AG33" i="2"/>
  <c r="AL32" i="2"/>
  <c r="AH33" i="2"/>
  <c r="AM167" i="2"/>
  <c r="AD17" i="2"/>
  <c r="AN159" i="2"/>
  <c r="AG169" i="2"/>
  <c r="AM162" i="2"/>
  <c r="AM198" i="2"/>
  <c r="AG159" i="2"/>
  <c r="AL159" i="2"/>
  <c r="AC22" i="2"/>
  <c r="AJ159" i="2"/>
  <c r="AE159" i="2"/>
  <c r="AD159" i="2"/>
  <c r="AC159" i="2"/>
  <c r="AF159" i="2"/>
  <c r="AN34" i="2"/>
  <c r="AH159" i="2"/>
  <c r="AK170" i="2"/>
  <c r="AK161" i="2"/>
  <c r="AM170" i="2"/>
  <c r="AM159" i="2"/>
  <c r="AL170" i="2"/>
  <c r="AI159" i="2"/>
  <c r="AK159" i="2"/>
  <c r="AN384" i="2"/>
  <c r="AG34" i="2"/>
  <c r="K151" i="2"/>
  <c r="AH161" i="2"/>
  <c r="AM169" i="2"/>
  <c r="AK162" i="2"/>
  <c r="AK198" i="2"/>
  <c r="AM384" i="2"/>
  <c r="AH34" i="2"/>
  <c r="AI161" i="2"/>
  <c r="AL169" i="2"/>
  <c r="AJ162" i="2"/>
  <c r="AJ198" i="2"/>
  <c r="AI34" i="2"/>
  <c r="AG161" i="2"/>
  <c r="AJ169" i="2"/>
  <c r="AI162" i="2"/>
  <c r="AF97" i="2"/>
  <c r="AI198" i="2"/>
  <c r="AJ34" i="2"/>
  <c r="AE22" i="2"/>
  <c r="AD22" i="2"/>
  <c r="AN161" i="2"/>
  <c r="AI169" i="2"/>
  <c r="AH162" i="2"/>
  <c r="AH198" i="2"/>
  <c r="AK169" i="2"/>
  <c r="AG384" i="2"/>
  <c r="AM34" i="2"/>
  <c r="AF22" i="2"/>
  <c r="AJ161" i="2"/>
  <c r="AN169" i="2"/>
  <c r="AL162" i="2"/>
  <c r="AL198" i="2"/>
  <c r="AM161" i="2"/>
  <c r="AH169" i="2"/>
  <c r="AN162" i="2"/>
  <c r="AG198" i="2"/>
  <c r="AL34" i="2"/>
  <c r="AK35" i="2"/>
  <c r="AH167" i="2"/>
  <c r="AI342" i="2"/>
  <c r="AM37" i="2"/>
  <c r="AN167" i="2"/>
  <c r="AJ342" i="2"/>
  <c r="AG35" i="2"/>
  <c r="AM342" i="2"/>
  <c r="AM41" i="2"/>
  <c r="AL167" i="2"/>
  <c r="AN342" i="2"/>
  <c r="K86" i="2"/>
  <c r="AD86" i="2" s="1"/>
  <c r="K84" i="2"/>
  <c r="AI84" i="2" s="1"/>
  <c r="AJ384" i="2"/>
  <c r="AK34" i="2"/>
  <c r="AG160" i="2"/>
  <c r="AL384" i="2"/>
  <c r="AK163" i="2"/>
  <c r="AM166" i="2"/>
  <c r="AJ163" i="2"/>
  <c r="AH166" i="2"/>
  <c r="AK384" i="2"/>
  <c r="K85" i="2"/>
  <c r="AF85" i="2" s="1"/>
  <c r="AJ31" i="2"/>
  <c r="AK31" i="2"/>
  <c r="AJ170" i="2"/>
  <c r="AH35" i="2"/>
  <c r="AI41" i="2"/>
  <c r="AG170" i="2"/>
  <c r="AH384" i="2"/>
  <c r="AL31" i="2"/>
  <c r="AI35" i="2"/>
  <c r="AN41" i="2"/>
  <c r="AI170" i="2"/>
  <c r="AI384" i="2"/>
  <c r="AJ35" i="2"/>
  <c r="AJ41" i="2"/>
  <c r="AH170" i="2"/>
  <c r="AL35" i="2"/>
  <c r="AL41" i="2"/>
  <c r="AN170" i="2"/>
  <c r="AN35" i="2"/>
  <c r="AG41" i="2"/>
  <c r="AI31" i="2"/>
  <c r="AM35" i="2"/>
  <c r="AH41" i="2"/>
  <c r="AF41" i="2"/>
  <c r="AC41" i="2"/>
  <c r="AE41" i="2"/>
  <c r="AD41" i="2"/>
  <c r="AK343" i="2"/>
  <c r="AG171" i="2"/>
  <c r="AJ168" i="2"/>
  <c r="AM165" i="2"/>
  <c r="AN171" i="2"/>
  <c r="AI168" i="2"/>
  <c r="AL165" i="2"/>
  <c r="K78" i="2"/>
  <c r="AL343" i="2"/>
  <c r="AM160" i="2"/>
  <c r="AL160" i="2"/>
  <c r="AC185" i="2"/>
  <c r="AC186" i="2"/>
  <c r="K398" i="2"/>
  <c r="AC398" i="2" s="1"/>
  <c r="AN343" i="2"/>
  <c r="AH160" i="2"/>
  <c r="AG343" i="2"/>
  <c r="AL171" i="2"/>
  <c r="AH168" i="2"/>
  <c r="AN165" i="2"/>
  <c r="AI343" i="2"/>
  <c r="AJ160" i="2"/>
  <c r="AM343" i="2"/>
  <c r="AN160" i="2"/>
  <c r="T10" i="3"/>
  <c r="AH343" i="2"/>
  <c r="AC184" i="2"/>
  <c r="AJ343" i="2"/>
  <c r="AI160" i="2"/>
  <c r="AE37" i="2"/>
  <c r="AD37" i="2"/>
  <c r="AC37" i="2"/>
  <c r="AF37" i="2"/>
  <c r="AH190" i="2"/>
  <c r="AG190" i="2"/>
  <c r="AK190" i="2"/>
  <c r="AC190" i="2"/>
  <c r="AE190" i="2"/>
  <c r="AD190" i="2"/>
  <c r="AN190" i="2"/>
  <c r="AJ190" i="2"/>
  <c r="AM190" i="2"/>
  <c r="AL190" i="2"/>
  <c r="AI190" i="2"/>
  <c r="AI24" i="2"/>
  <c r="AH24" i="2"/>
  <c r="AG24" i="2"/>
  <c r="AN24" i="2"/>
  <c r="AF24" i="2"/>
  <c r="AJ24" i="2"/>
  <c r="AE24" i="2"/>
  <c r="AD24" i="2"/>
  <c r="AK24" i="2"/>
  <c r="AM24" i="2"/>
  <c r="AL24" i="2"/>
  <c r="AF163" i="2"/>
  <c r="AC163" i="2"/>
  <c r="AE163" i="2"/>
  <c r="AD163" i="2"/>
  <c r="AF190" i="2"/>
  <c r="AD99" i="2"/>
  <c r="AL182" i="2"/>
  <c r="AD182" i="2"/>
  <c r="AK182" i="2"/>
  <c r="AC182" i="2"/>
  <c r="AJ182" i="2"/>
  <c r="AG182" i="2"/>
  <c r="AN182" i="2"/>
  <c r="AM182" i="2"/>
  <c r="AI182" i="2"/>
  <c r="AH182" i="2"/>
  <c r="AF182" i="2"/>
  <c r="AG163" i="2"/>
  <c r="AJ171" i="2"/>
  <c r="AK37" i="2"/>
  <c r="AG168" i="2"/>
  <c r="AK166" i="2"/>
  <c r="AG167" i="2"/>
  <c r="AG165" i="2"/>
  <c r="AJ341" i="2"/>
  <c r="AH342" i="2"/>
  <c r="AK160" i="2"/>
  <c r="AF272" i="2"/>
  <c r="AN31" i="2"/>
  <c r="AN32" i="2"/>
  <c r="AI33" i="2"/>
  <c r="AE17" i="2"/>
  <c r="AM17" i="2"/>
  <c r="AF17" i="2"/>
  <c r="AN17" i="2"/>
  <c r="AC17" i="2"/>
  <c r="AH17" i="2"/>
  <c r="AG17" i="2"/>
  <c r="AJ17" i="2"/>
  <c r="AK17" i="2"/>
  <c r="AL17" i="2"/>
  <c r="AI17" i="2"/>
  <c r="AH102" i="2"/>
  <c r="AG102" i="2"/>
  <c r="AN102" i="2"/>
  <c r="AF102" i="2"/>
  <c r="AK102" i="2"/>
  <c r="AC102" i="2"/>
  <c r="AJ102" i="2"/>
  <c r="AI102" i="2"/>
  <c r="AE102" i="2"/>
  <c r="AM102" i="2"/>
  <c r="AL102" i="2"/>
  <c r="AM25" i="2"/>
  <c r="AL25" i="2"/>
  <c r="AD25" i="2"/>
  <c r="AK25" i="2"/>
  <c r="AC25" i="2"/>
  <c r="AJ25" i="2"/>
  <c r="AN25" i="2"/>
  <c r="AI25" i="2"/>
  <c r="AH25" i="2"/>
  <c r="AG25" i="2"/>
  <c r="AF25" i="2"/>
  <c r="AE182" i="2"/>
  <c r="AL97" i="2"/>
  <c r="AD97" i="2"/>
  <c r="AK97" i="2"/>
  <c r="AC97" i="2"/>
  <c r="AJ97" i="2"/>
  <c r="AG97" i="2"/>
  <c r="AN97" i="2"/>
  <c r="AM97" i="2"/>
  <c r="AI97" i="2"/>
  <c r="AH97" i="2"/>
  <c r="AE97" i="2"/>
  <c r="AF169" i="2"/>
  <c r="AC169" i="2"/>
  <c r="AE169" i="2"/>
  <c r="AD169" i="2"/>
  <c r="AE34" i="2"/>
  <c r="AD34" i="2"/>
  <c r="AC34" i="2"/>
  <c r="AF34" i="2"/>
  <c r="C19" i="9"/>
  <c r="B19" i="9" s="1"/>
  <c r="AF193" i="2"/>
  <c r="AL178" i="2"/>
  <c r="AD178" i="2"/>
  <c r="AK178" i="2"/>
  <c r="AC178" i="2"/>
  <c r="AJ178" i="2"/>
  <c r="AG178" i="2"/>
  <c r="AN178" i="2"/>
  <c r="AE178" i="2"/>
  <c r="AM178" i="2"/>
  <c r="AI178" i="2"/>
  <c r="AH178" i="2"/>
  <c r="AD166" i="2"/>
  <c r="AC166" i="2"/>
  <c r="AF166" i="2"/>
  <c r="AE166" i="2"/>
  <c r="AH176" i="2"/>
  <c r="AG176" i="2"/>
  <c r="AN176" i="2"/>
  <c r="AF176" i="2"/>
  <c r="AK176" i="2"/>
  <c r="AM176" i="2"/>
  <c r="AL176" i="2"/>
  <c r="AJ176" i="2"/>
  <c r="AI176" i="2"/>
  <c r="AD176" i="2"/>
  <c r="AE176" i="2"/>
  <c r="AD342" i="2"/>
  <c r="AC342" i="2"/>
  <c r="AF342" i="2"/>
  <c r="AE342" i="2"/>
  <c r="AF167" i="2"/>
  <c r="AC167" i="2"/>
  <c r="AE167" i="2"/>
  <c r="AD167" i="2"/>
  <c r="AN163" i="2"/>
  <c r="AM171" i="2"/>
  <c r="AJ37" i="2"/>
  <c r="AM168" i="2"/>
  <c r="AJ166" i="2"/>
  <c r="AK167" i="2"/>
  <c r="AJ165" i="2"/>
  <c r="AK341" i="2"/>
  <c r="AK342" i="2"/>
  <c r="AM31" i="2"/>
  <c r="AM32" i="2"/>
  <c r="AJ33" i="2"/>
  <c r="K96" i="2"/>
  <c r="AD102" i="2"/>
  <c r="AE25" i="2"/>
  <c r="AC198" i="2"/>
  <c r="AF198" i="2"/>
  <c r="AE198" i="2"/>
  <c r="AD198" i="2"/>
  <c r="AD162" i="2"/>
  <c r="AC162" i="2"/>
  <c r="AF162" i="2"/>
  <c r="AE162" i="2"/>
  <c r="AI22" i="2"/>
  <c r="AN22" i="2"/>
  <c r="AH22" i="2"/>
  <c r="AG22" i="2"/>
  <c r="AM22" i="2"/>
  <c r="AL22" i="2"/>
  <c r="AK22" i="2"/>
  <c r="AJ22" i="2"/>
  <c r="AF161" i="2"/>
  <c r="AC161" i="2"/>
  <c r="AE161" i="2"/>
  <c r="AD161" i="2"/>
  <c r="AI163" i="2"/>
  <c r="AN166" i="2"/>
  <c r="AH99" i="2"/>
  <c r="AG99" i="2"/>
  <c r="AN99" i="2"/>
  <c r="AF99" i="2"/>
  <c r="AK99" i="2"/>
  <c r="AC99" i="2"/>
  <c r="AM99" i="2"/>
  <c r="AL99" i="2"/>
  <c r="AI99" i="2"/>
  <c r="AE99" i="2"/>
  <c r="AJ99" i="2"/>
  <c r="AC24" i="2"/>
  <c r="AD168" i="2"/>
  <c r="AC168" i="2"/>
  <c r="AE168" i="2"/>
  <c r="AF168" i="2"/>
  <c r="AD171" i="2"/>
  <c r="AC171" i="2"/>
  <c r="AE171" i="2"/>
  <c r="AF171" i="2"/>
  <c r="K164" i="2"/>
  <c r="AF165" i="2"/>
  <c r="AC165" i="2"/>
  <c r="AE165" i="2"/>
  <c r="AD165" i="2"/>
  <c r="AG37" i="2"/>
  <c r="AH163" i="2"/>
  <c r="AK171" i="2"/>
  <c r="AN37" i="2"/>
  <c r="AN168" i="2"/>
  <c r="AL166" i="2"/>
  <c r="AK165" i="2"/>
  <c r="AI171" i="2"/>
  <c r="AI37" i="2"/>
  <c r="AL168" i="2"/>
  <c r="AG166" i="2"/>
  <c r="AI165" i="2"/>
  <c r="AL342" i="2"/>
  <c r="AG31" i="2"/>
  <c r="AG32" i="2"/>
  <c r="AK33" i="2"/>
  <c r="AD197" i="2"/>
  <c r="AC197" i="2"/>
  <c r="AF197" i="2"/>
  <c r="AE197" i="2"/>
  <c r="AH272" i="2"/>
  <c r="AG272" i="2"/>
  <c r="AK272" i="2"/>
  <c r="AC272" i="2"/>
  <c r="AM272" i="2"/>
  <c r="AL272" i="2"/>
  <c r="AJ272" i="2"/>
  <c r="AI272" i="2"/>
  <c r="AE272" i="2"/>
  <c r="AD272" i="2"/>
  <c r="AN272" i="2"/>
  <c r="AI26" i="2"/>
  <c r="AH26" i="2"/>
  <c r="AG26" i="2"/>
  <c r="AN26" i="2"/>
  <c r="AM26" i="2"/>
  <c r="AL26" i="2"/>
  <c r="AK26" i="2"/>
  <c r="AJ26" i="2"/>
  <c r="AE26" i="2"/>
  <c r="AD26" i="2"/>
  <c r="AC26" i="2"/>
  <c r="AF35" i="2"/>
  <c r="AD35" i="2"/>
  <c r="AE35" i="2"/>
  <c r="AC35" i="2"/>
  <c r="AD170" i="2"/>
  <c r="AC170" i="2"/>
  <c r="AF170" i="2"/>
  <c r="AE170" i="2"/>
  <c r="K383" i="2"/>
  <c r="AF384" i="2"/>
  <c r="AE384" i="2"/>
  <c r="AD384" i="2"/>
  <c r="AC384" i="2"/>
  <c r="AL37" i="2"/>
  <c r="AM163" i="2"/>
  <c r="AL163" i="2"/>
  <c r="AH171" i="2"/>
  <c r="AH37" i="2"/>
  <c r="AK168" i="2"/>
  <c r="AI166" i="2"/>
  <c r="AJ167" i="2"/>
  <c r="AH165" i="2"/>
  <c r="AF178" i="2"/>
  <c r="AC176" i="2"/>
  <c r="AN341" i="2"/>
  <c r="AG342" i="2"/>
  <c r="AH31" i="2"/>
  <c r="AH32" i="2"/>
  <c r="AL33" i="2"/>
  <c r="AD160" i="2"/>
  <c r="AC160" i="2"/>
  <c r="AE160" i="2"/>
  <c r="AF160" i="2"/>
  <c r="AH185" i="2"/>
  <c r="AG185" i="2"/>
  <c r="AN185" i="2"/>
  <c r="AF185" i="2"/>
  <c r="AK185" i="2"/>
  <c r="AJ185" i="2"/>
  <c r="AI185" i="2"/>
  <c r="AE185" i="2"/>
  <c r="AD185" i="2"/>
  <c r="AM185" i="2"/>
  <c r="AL185" i="2"/>
  <c r="AF26" i="2"/>
  <c r="AH186" i="2"/>
  <c r="AG186" i="2"/>
  <c r="AK186" i="2"/>
  <c r="AD186" i="2"/>
  <c r="AN186" i="2"/>
  <c r="AM186" i="2"/>
  <c r="AI186" i="2"/>
  <c r="AL186" i="2"/>
  <c r="AJ186" i="2"/>
  <c r="AF186" i="2"/>
  <c r="AE186" i="2"/>
  <c r="AF343" i="2"/>
  <c r="AC343" i="2"/>
  <c r="AE343" i="2"/>
  <c r="AD343" i="2"/>
  <c r="AL184" i="2"/>
  <c r="AD184" i="2"/>
  <c r="AK184" i="2"/>
  <c r="AJ184" i="2"/>
  <c r="AG184" i="2"/>
  <c r="AF184" i="2"/>
  <c r="AN184" i="2"/>
  <c r="AE184" i="2"/>
  <c r="AM184" i="2"/>
  <c r="AI184" i="2"/>
  <c r="AH184" i="2"/>
  <c r="C20" i="9"/>
  <c r="B20" i="9" s="1"/>
  <c r="AH193" i="2"/>
  <c r="AG193" i="2"/>
  <c r="AK193" i="2"/>
  <c r="AC193" i="2"/>
  <c r="AE193" i="2"/>
  <c r="AD193" i="2"/>
  <c r="AL193" i="2"/>
  <c r="AN193" i="2"/>
  <c r="AM193" i="2"/>
  <c r="AJ193" i="2"/>
  <c r="AI193" i="2"/>
  <c r="AF341" i="2"/>
  <c r="AC341" i="2"/>
  <c r="AD341" i="2"/>
  <c r="AE341" i="2"/>
  <c r="AF33" i="2"/>
  <c r="AE33" i="2"/>
  <c r="AD33" i="2"/>
  <c r="AC33" i="2"/>
  <c r="D11" i="9"/>
  <c r="AF40" i="2"/>
  <c r="AD40" i="2"/>
  <c r="AE40" i="2"/>
  <c r="AC40" i="2"/>
  <c r="K30" i="2"/>
  <c r="D4" i="9"/>
  <c r="AE32" i="2"/>
  <c r="AD32" i="2"/>
  <c r="AC32" i="2"/>
  <c r="AF32" i="2"/>
  <c r="D5" i="9"/>
  <c r="AF31" i="2"/>
  <c r="AE31" i="2"/>
  <c r="AD31" i="2"/>
  <c r="AC31" i="2"/>
  <c r="K397" i="2"/>
  <c r="K399" i="2"/>
  <c r="AC399" i="2" s="1"/>
  <c r="K319" i="2"/>
  <c r="K80" i="2"/>
  <c r="AD80" i="2" s="1"/>
  <c r="K79" i="2"/>
  <c r="AE79" i="2" s="1"/>
  <c r="K83" i="2"/>
  <c r="AE83" i="2" s="1"/>
  <c r="K81" i="2"/>
  <c r="AE81" i="2" s="1"/>
  <c r="K101" i="2"/>
  <c r="K23" i="2"/>
  <c r="L326" i="2"/>
  <c r="M326" i="2"/>
  <c r="K293" i="2"/>
  <c r="K87" i="2"/>
  <c r="M369" i="2"/>
  <c r="K402" i="2"/>
  <c r="K299" i="2"/>
  <c r="K385" i="2"/>
  <c r="L89" i="2"/>
  <c r="M89" i="2"/>
  <c r="L274" i="2"/>
  <c r="M274" i="2"/>
  <c r="L404" i="2"/>
  <c r="M404" i="2"/>
  <c r="M297" i="2"/>
  <c r="L297" i="2"/>
  <c r="K280" i="2"/>
  <c r="K276" i="2" s="1"/>
  <c r="M295" i="2"/>
  <c r="L295" i="2"/>
  <c r="L16" i="2"/>
  <c r="M16" i="2"/>
  <c r="K196" i="2"/>
  <c r="K194" i="2" s="1"/>
  <c r="L334" i="2"/>
  <c r="M334" i="2"/>
  <c r="L19" i="2"/>
  <c r="K157" i="2"/>
  <c r="K340" i="2"/>
  <c r="K338" i="2" s="1"/>
  <c r="M82" i="2"/>
  <c r="L82" i="2"/>
  <c r="L301" i="2"/>
  <c r="M301" i="2"/>
  <c r="K16" i="2"/>
  <c r="M19" i="2"/>
  <c r="L318" i="2"/>
  <c r="M318" i="2"/>
  <c r="M183" i="2"/>
  <c r="L183" i="2"/>
  <c r="L303" i="2"/>
  <c r="M303" i="2"/>
  <c r="L396" i="2"/>
  <c r="M396" i="2"/>
  <c r="K230" i="2"/>
  <c r="K226" i="2" s="1"/>
  <c r="L344" i="2"/>
  <c r="M344" i="2"/>
  <c r="K271" i="2"/>
  <c r="K269" i="2" s="1"/>
  <c r="M164" i="2"/>
  <c r="L164" i="2"/>
  <c r="L199" i="2"/>
  <c r="M199" i="2"/>
  <c r="L77" i="2"/>
  <c r="M77" i="2"/>
  <c r="M278" i="2"/>
  <c r="L278" i="2"/>
  <c r="M406" i="2"/>
  <c r="L406" i="2"/>
  <c r="M236" i="2"/>
  <c r="L236" i="2"/>
  <c r="L383" i="2"/>
  <c r="M383" i="2"/>
  <c r="L96" i="2"/>
  <c r="M96" i="2"/>
  <c r="K232" i="2"/>
  <c r="L400" i="2"/>
  <c r="M400" i="2"/>
  <c r="M30" i="2"/>
  <c r="L30" i="2"/>
  <c r="M228" i="2"/>
  <c r="L228" i="2"/>
  <c r="L91" i="2"/>
  <c r="M91" i="2"/>
  <c r="K175" i="2"/>
  <c r="K36" i="2"/>
  <c r="K336" i="2"/>
  <c r="K332" i="2" s="1"/>
  <c r="L151" i="2"/>
  <c r="M151" i="2"/>
  <c r="M234" i="2"/>
  <c r="L234" i="2"/>
  <c r="Q101" i="2"/>
  <c r="H42" i="3" s="1"/>
  <c r="J19" i="2"/>
  <c r="P23" i="2"/>
  <c r="J9" i="2"/>
  <c r="B20" i="3"/>
  <c r="T16" i="3"/>
  <c r="T15" i="3"/>
  <c r="D9" i="3"/>
  <c r="T6" i="3"/>
  <c r="T13" i="3"/>
  <c r="T12" i="3"/>
  <c r="T8" i="3"/>
  <c r="T11" i="3"/>
  <c r="G8" i="3"/>
  <c r="S18" i="3"/>
  <c r="R18" i="3"/>
  <c r="I6" i="3"/>
  <c r="D8" i="3"/>
  <c r="J98" i="2"/>
  <c r="D10" i="3"/>
  <c r="AD112" i="2" l="1"/>
  <c r="K103" i="2"/>
  <c r="AJ112" i="2"/>
  <c r="AH115" i="2"/>
  <c r="AM115" i="2"/>
  <c r="AM112" i="2"/>
  <c r="AG115" i="2"/>
  <c r="AD106" i="2"/>
  <c r="AJ115" i="2"/>
  <c r="AK115" i="2"/>
  <c r="AI115" i="2"/>
  <c r="AN115" i="2"/>
  <c r="T26" i="3"/>
  <c r="AG106" i="2"/>
  <c r="AM106" i="2"/>
  <c r="AI106" i="2"/>
  <c r="AH106" i="2"/>
  <c r="AL106" i="2"/>
  <c r="D6" i="9"/>
  <c r="AJ106" i="2"/>
  <c r="M103" i="2"/>
  <c r="AC106" i="2"/>
  <c r="AK106" i="2"/>
  <c r="AE106" i="2"/>
  <c r="AN106" i="2"/>
  <c r="AF115" i="2"/>
  <c r="AE115" i="2"/>
  <c r="AD115" i="2"/>
  <c r="AC115" i="2"/>
  <c r="AF106" i="2"/>
  <c r="K326" i="2"/>
  <c r="K322" i="2" s="1"/>
  <c r="D13" i="9"/>
  <c r="AL379" i="2"/>
  <c r="AK379" i="2"/>
  <c r="AC379" i="2"/>
  <c r="AF379" i="2"/>
  <c r="AJ379" i="2"/>
  <c r="AN379" i="2"/>
  <c r="AI379" i="2"/>
  <c r="AH379" i="2"/>
  <c r="AG379" i="2"/>
  <c r="AM379" i="2"/>
  <c r="AE379" i="2"/>
  <c r="AD379" i="2"/>
  <c r="AF327" i="2"/>
  <c r="AH328" i="2"/>
  <c r="AC328" i="2"/>
  <c r="AK328" i="2"/>
  <c r="V34" i="3"/>
  <c r="AF328" i="2"/>
  <c r="AM328" i="2"/>
  <c r="AE328" i="2"/>
  <c r="AG327" i="2"/>
  <c r="AJ327" i="2"/>
  <c r="AH327" i="2"/>
  <c r="AM327" i="2"/>
  <c r="AD328" i="2"/>
  <c r="AJ328" i="2"/>
  <c r="AG328" i="2"/>
  <c r="AN328" i="2"/>
  <c r="AL328" i="2"/>
  <c r="AK327" i="2"/>
  <c r="AI327" i="2"/>
  <c r="AL327" i="2"/>
  <c r="AC329" i="2"/>
  <c r="AE327" i="2"/>
  <c r="AC327" i="2"/>
  <c r="AG329" i="2"/>
  <c r="AH329" i="2"/>
  <c r="AE329" i="2"/>
  <c r="AD327" i="2"/>
  <c r="AF329" i="2"/>
  <c r="AL329" i="2"/>
  <c r="AI329" i="2"/>
  <c r="AM329" i="2"/>
  <c r="AD329" i="2"/>
  <c r="AN329" i="2"/>
  <c r="AK329" i="2"/>
  <c r="AH330" i="2"/>
  <c r="AJ330" i="2"/>
  <c r="AM330" i="2"/>
  <c r="AI330" i="2"/>
  <c r="AG330" i="2"/>
  <c r="AC330" i="2"/>
  <c r="AE330" i="2"/>
  <c r="AL330" i="2"/>
  <c r="AD330" i="2"/>
  <c r="AK330" i="2"/>
  <c r="AN330" i="2"/>
  <c r="AF330" i="2"/>
  <c r="D12" i="9"/>
  <c r="S42" i="3"/>
  <c r="AI27" i="2"/>
  <c r="AM27" i="2"/>
  <c r="AC27" i="2"/>
  <c r="K149" i="2"/>
  <c r="M149" i="2"/>
  <c r="L149" i="2"/>
  <c r="K19" i="2"/>
  <c r="K14" i="2" s="1"/>
  <c r="AH27" i="2"/>
  <c r="AE27" i="2"/>
  <c r="AN27" i="2"/>
  <c r="AF27" i="2"/>
  <c r="AJ27" i="2"/>
  <c r="AK27" i="2"/>
  <c r="AD27" i="2"/>
  <c r="AG27" i="2"/>
  <c r="AL27" i="2"/>
  <c r="AJ84" i="2"/>
  <c r="AN189" i="2"/>
  <c r="AL189" i="2"/>
  <c r="AF189" i="2"/>
  <c r="AJ189" i="2"/>
  <c r="AD189" i="2"/>
  <c r="AH189" i="2"/>
  <c r="AI189" i="2"/>
  <c r="AE189" i="2"/>
  <c r="T28" i="3"/>
  <c r="AG189" i="2"/>
  <c r="AC189" i="2"/>
  <c r="K183" i="2"/>
  <c r="K173" i="2" s="1"/>
  <c r="K172" i="2" s="1"/>
  <c r="AM189" i="2"/>
  <c r="V44" i="3"/>
  <c r="V46" i="3" s="1"/>
  <c r="T33" i="3"/>
  <c r="M372" i="2"/>
  <c r="M367" i="2" s="1"/>
  <c r="AE78" i="2"/>
  <c r="T25" i="3"/>
  <c r="L373" i="2"/>
  <c r="U34" i="3" s="1"/>
  <c r="V32" i="3"/>
  <c r="AG86" i="2"/>
  <c r="AC397" i="2"/>
  <c r="T35" i="3"/>
  <c r="T24" i="3"/>
  <c r="AI85" i="2"/>
  <c r="AH85" i="2"/>
  <c r="AH84" i="2"/>
  <c r="AD84" i="2"/>
  <c r="AL86" i="2"/>
  <c r="AH86" i="2"/>
  <c r="AE86" i="2"/>
  <c r="AM86" i="2"/>
  <c r="AC86" i="2"/>
  <c r="AK86" i="2"/>
  <c r="AI86" i="2"/>
  <c r="AF86" i="2"/>
  <c r="AJ86" i="2"/>
  <c r="AN86" i="2"/>
  <c r="AN84" i="2"/>
  <c r="AC84" i="2"/>
  <c r="AK84" i="2"/>
  <c r="AE84" i="2"/>
  <c r="AG84" i="2"/>
  <c r="AM84" i="2"/>
  <c r="AF84" i="2"/>
  <c r="AL84" i="2"/>
  <c r="AI398" i="2"/>
  <c r="AK85" i="2"/>
  <c r="AG85" i="2"/>
  <c r="AD398" i="2"/>
  <c r="AD85" i="2"/>
  <c r="AL85" i="2"/>
  <c r="AE85" i="2"/>
  <c r="K318" i="2"/>
  <c r="AE398" i="2"/>
  <c r="AC85" i="2"/>
  <c r="AJ85" i="2"/>
  <c r="AN85" i="2"/>
  <c r="AM85" i="2"/>
  <c r="AI78" i="2"/>
  <c r="AM78" i="2"/>
  <c r="AJ78" i="2"/>
  <c r="AF78" i="2"/>
  <c r="AN78" i="2"/>
  <c r="AC78" i="2"/>
  <c r="AL78" i="2"/>
  <c r="AG78" i="2"/>
  <c r="AK78" i="2"/>
  <c r="AH78" i="2"/>
  <c r="I23" i="9"/>
  <c r="C23" i="9" s="1"/>
  <c r="B23" i="9" s="1"/>
  <c r="AJ398" i="2"/>
  <c r="AF398" i="2"/>
  <c r="AK398" i="2"/>
  <c r="AM398" i="2"/>
  <c r="AL398" i="2"/>
  <c r="AN398" i="2"/>
  <c r="AG398" i="2"/>
  <c r="AH398" i="2"/>
  <c r="K381" i="2"/>
  <c r="AE319" i="2"/>
  <c r="K82" i="2"/>
  <c r="AD78" i="2"/>
  <c r="AE80" i="2"/>
  <c r="AD101" i="2"/>
  <c r="G4" i="9" s="1"/>
  <c r="I22" i="9"/>
  <c r="K98" i="2"/>
  <c r="K94" i="2" s="1"/>
  <c r="K93" i="2" s="1"/>
  <c r="AL101" i="2"/>
  <c r="O4" i="9" s="1"/>
  <c r="AK101" i="2"/>
  <c r="N4" i="9" s="1"/>
  <c r="AC101" i="2"/>
  <c r="F4" i="9" s="1"/>
  <c r="AJ101" i="2"/>
  <c r="M4" i="9" s="1"/>
  <c r="AG101" i="2"/>
  <c r="J4" i="9" s="1"/>
  <c r="AF101" i="2"/>
  <c r="I4" i="9" s="1"/>
  <c r="AE101" i="2"/>
  <c r="H4" i="9" s="1"/>
  <c r="AM101" i="2"/>
  <c r="P4" i="9" s="1"/>
  <c r="AN101" i="2"/>
  <c r="Q4" i="9" s="1"/>
  <c r="AI101" i="2"/>
  <c r="L4" i="9" s="1"/>
  <c r="AH101" i="2"/>
  <c r="K4" i="9" s="1"/>
  <c r="AH397" i="2"/>
  <c r="AG397" i="2"/>
  <c r="AN397" i="2"/>
  <c r="AF397" i="2"/>
  <c r="AM397" i="2"/>
  <c r="AE397" i="2"/>
  <c r="AL397" i="2"/>
  <c r="AD397" i="2"/>
  <c r="AK397" i="2"/>
  <c r="AI397" i="2"/>
  <c r="AJ397" i="2"/>
  <c r="K155" i="2"/>
  <c r="AM81" i="2"/>
  <c r="AL81" i="2"/>
  <c r="AK81" i="2"/>
  <c r="AC81" i="2"/>
  <c r="AJ81" i="2"/>
  <c r="AH81" i="2"/>
  <c r="AN81" i="2"/>
  <c r="AI81" i="2"/>
  <c r="AG81" i="2"/>
  <c r="AF81" i="2"/>
  <c r="AI83" i="2"/>
  <c r="AH83" i="2"/>
  <c r="AG83" i="2"/>
  <c r="AN83" i="2"/>
  <c r="AF83" i="2"/>
  <c r="AL83" i="2"/>
  <c r="AC83" i="2"/>
  <c r="AM83" i="2"/>
  <c r="AK83" i="2"/>
  <c r="AJ83" i="2"/>
  <c r="C5" i="9"/>
  <c r="AD83" i="2"/>
  <c r="K320" i="2"/>
  <c r="K396" i="2"/>
  <c r="K394" i="2" s="1"/>
  <c r="K393" i="2" s="1"/>
  <c r="AC23" i="2"/>
  <c r="AI80" i="2"/>
  <c r="AH80" i="2"/>
  <c r="AG80" i="2"/>
  <c r="AN80" i="2"/>
  <c r="AF80" i="2"/>
  <c r="AL80" i="2"/>
  <c r="AC80" i="2"/>
  <c r="AM80" i="2"/>
  <c r="AK80" i="2"/>
  <c r="AJ80" i="2"/>
  <c r="C4" i="9"/>
  <c r="AM23" i="2"/>
  <c r="AE23" i="2"/>
  <c r="AL23" i="2"/>
  <c r="AD23" i="2"/>
  <c r="AK23" i="2"/>
  <c r="AJ23" i="2"/>
  <c r="AF23" i="2"/>
  <c r="AN23" i="2"/>
  <c r="AG23" i="2"/>
  <c r="AI23" i="2"/>
  <c r="AH23" i="2"/>
  <c r="AH399" i="2"/>
  <c r="AG399" i="2"/>
  <c r="AN399" i="2"/>
  <c r="AF399" i="2"/>
  <c r="AM399" i="2"/>
  <c r="AE399" i="2"/>
  <c r="AL399" i="2"/>
  <c r="AD399" i="2"/>
  <c r="AK399" i="2"/>
  <c r="AJ399" i="2"/>
  <c r="AI399" i="2"/>
  <c r="AM79" i="2"/>
  <c r="AL79" i="2"/>
  <c r="AK79" i="2"/>
  <c r="AC79" i="2"/>
  <c r="AJ79" i="2"/>
  <c r="AH79" i="2"/>
  <c r="AN79" i="2"/>
  <c r="AI79" i="2"/>
  <c r="AG79" i="2"/>
  <c r="AF79" i="2"/>
  <c r="K77" i="2"/>
  <c r="AL319" i="2"/>
  <c r="AD319" i="2"/>
  <c r="AK319" i="2"/>
  <c r="AC319" i="2"/>
  <c r="F5" i="9" s="1"/>
  <c r="F33" i="9" s="1"/>
  <c r="AJ319" i="2"/>
  <c r="AG319" i="2"/>
  <c r="AI319" i="2"/>
  <c r="AH319" i="2"/>
  <c r="AF319" i="2"/>
  <c r="AN319" i="2"/>
  <c r="AM319" i="2"/>
  <c r="AD79" i="2"/>
  <c r="AD81" i="2"/>
  <c r="K292" i="2"/>
  <c r="M232" i="2"/>
  <c r="K268" i="2"/>
  <c r="L293" i="2"/>
  <c r="M293" i="2"/>
  <c r="L87" i="2"/>
  <c r="K331" i="2"/>
  <c r="M75" i="2"/>
  <c r="M299" i="2"/>
  <c r="L402" i="2"/>
  <c r="L299" i="2"/>
  <c r="M14" i="2"/>
  <c r="L175" i="2"/>
  <c r="L173" i="2" s="1"/>
  <c r="M175" i="2"/>
  <c r="M173" i="2" s="1"/>
  <c r="M157" i="2"/>
  <c r="M155" i="2" s="1"/>
  <c r="L157" i="2"/>
  <c r="L155" i="2" s="1"/>
  <c r="L14" i="2"/>
  <c r="M402" i="2"/>
  <c r="M87" i="2"/>
  <c r="L232" i="2"/>
  <c r="K8" i="2"/>
  <c r="L75" i="2"/>
  <c r="L230" i="2"/>
  <c r="L226" i="2" s="1"/>
  <c r="M230" i="2"/>
  <c r="M226" i="2" s="1"/>
  <c r="K28" i="2"/>
  <c r="M280" i="2"/>
  <c r="M276" i="2" s="1"/>
  <c r="L280" i="2"/>
  <c r="L276" i="2" s="1"/>
  <c r="L336" i="2"/>
  <c r="L332" i="2" s="1"/>
  <c r="M336" i="2"/>
  <c r="M332" i="2" s="1"/>
  <c r="M394" i="2"/>
  <c r="K225" i="2"/>
  <c r="L98" i="2"/>
  <c r="L94" i="2" s="1"/>
  <c r="L93" i="2" s="1"/>
  <c r="M98" i="2"/>
  <c r="M94" i="2" s="1"/>
  <c r="M271" i="2"/>
  <c r="M269" i="2" s="1"/>
  <c r="L271" i="2"/>
  <c r="L269" i="2" s="1"/>
  <c r="L394" i="2"/>
  <c r="L196" i="2"/>
  <c r="L194" i="2" s="1"/>
  <c r="M196" i="2"/>
  <c r="M194" i="2" s="1"/>
  <c r="L320" i="2"/>
  <c r="L316" i="2" s="1"/>
  <c r="M320" i="2"/>
  <c r="M316" i="2" s="1"/>
  <c r="L385" i="2"/>
  <c r="L381" i="2" s="1"/>
  <c r="M385" i="2"/>
  <c r="M381" i="2" s="1"/>
  <c r="M36" i="2"/>
  <c r="L36" i="2"/>
  <c r="L28" i="2" s="1"/>
  <c r="L340" i="2"/>
  <c r="L338" i="2" s="1"/>
  <c r="M340" i="2"/>
  <c r="M338" i="2" s="1"/>
  <c r="C22" i="9"/>
  <c r="B22" i="9"/>
  <c r="J6" i="2"/>
  <c r="T18" i="3"/>
  <c r="K9" i="2" l="1"/>
  <c r="M93" i="2"/>
  <c r="V36" i="3"/>
  <c r="V47" i="3" s="1"/>
  <c r="K148" i="2"/>
  <c r="N32" i="9"/>
  <c r="H32" i="9"/>
  <c r="G32" i="9"/>
  <c r="M32" i="9"/>
  <c r="L32" i="9"/>
  <c r="Q32" i="9"/>
  <c r="O32" i="9"/>
  <c r="P32" i="9"/>
  <c r="L148" i="2"/>
  <c r="M148" i="2"/>
  <c r="U32" i="3"/>
  <c r="U36" i="3" s="1"/>
  <c r="U44" i="3"/>
  <c r="U46" i="3" s="1"/>
  <c r="J32" i="9"/>
  <c r="G5" i="9"/>
  <c r="G33" i="9" s="1"/>
  <c r="N5" i="9"/>
  <c r="N33" i="9" s="1"/>
  <c r="O5" i="9"/>
  <c r="O33" i="9" s="1"/>
  <c r="K75" i="2"/>
  <c r="K74" i="2" s="1"/>
  <c r="K316" i="2"/>
  <c r="K315" i="2" s="1"/>
  <c r="H5" i="9"/>
  <c r="H33" i="9" s="1"/>
  <c r="K7" i="2"/>
  <c r="I5" i="9"/>
  <c r="I33" i="9" s="1"/>
  <c r="P5" i="9"/>
  <c r="P33" i="9" s="1"/>
  <c r="I24" i="9"/>
  <c r="I25" i="9" s="1"/>
  <c r="H104" i="10" s="1"/>
  <c r="L5" i="9"/>
  <c r="L33" i="9" s="1"/>
  <c r="K5" i="9"/>
  <c r="K33" i="9" s="1"/>
  <c r="Q5" i="9"/>
  <c r="Q33" i="9" s="1"/>
  <c r="M5" i="9"/>
  <c r="M33" i="9" s="1"/>
  <c r="J5" i="9"/>
  <c r="J33" i="9" s="1"/>
  <c r="K32" i="9"/>
  <c r="F32" i="9"/>
  <c r="I32" i="9"/>
  <c r="M225" i="2"/>
  <c r="L393" i="2"/>
  <c r="M366" i="2"/>
  <c r="M74" i="2"/>
  <c r="L292" i="2"/>
  <c r="L331" i="2"/>
  <c r="M9" i="2"/>
  <c r="M292" i="2"/>
  <c r="L74" i="2"/>
  <c r="L225" i="2"/>
  <c r="L172" i="2"/>
  <c r="L268" i="2"/>
  <c r="M6" i="2"/>
  <c r="M172" i="2"/>
  <c r="M331" i="2"/>
  <c r="M268" i="2"/>
  <c r="M5" i="2"/>
  <c r="M393" i="2"/>
  <c r="M4" i="2"/>
  <c r="L9" i="2"/>
  <c r="K13" i="2"/>
  <c r="M28" i="2"/>
  <c r="L13" i="2"/>
  <c r="C215" i="11"/>
  <c r="I287" i="11"/>
  <c r="J287" i="11" s="1"/>
  <c r="I266" i="11"/>
  <c r="J266" i="11" s="1"/>
  <c r="J245" i="11"/>
  <c r="J224" i="11"/>
  <c r="J182" i="11"/>
  <c r="I161" i="11"/>
  <c r="J161" i="11" s="1"/>
  <c r="I140" i="11"/>
  <c r="J140" i="11" s="1"/>
  <c r="J119" i="11"/>
  <c r="I117" i="11"/>
  <c r="J117" i="11" s="1"/>
  <c r="K117" i="11" s="1"/>
  <c r="L117" i="11" s="1"/>
  <c r="M117" i="11" s="1"/>
  <c r="N117" i="11" s="1"/>
  <c r="O117" i="11" s="1"/>
  <c r="P117" i="11" s="1"/>
  <c r="Q117" i="11" s="1"/>
  <c r="R117" i="11" s="1"/>
  <c r="S117" i="11" s="1"/>
  <c r="T117" i="11" s="1"/>
  <c r="U117" i="11" s="1"/>
  <c r="I116" i="11"/>
  <c r="J116" i="11" s="1"/>
  <c r="K116" i="11" s="1"/>
  <c r="L116" i="11" s="1"/>
  <c r="M116" i="11" s="1"/>
  <c r="N116" i="11" s="1"/>
  <c r="O116" i="11" s="1"/>
  <c r="P116" i="11" s="1"/>
  <c r="Q116" i="11" s="1"/>
  <c r="R116" i="11" s="1"/>
  <c r="S116" i="11" s="1"/>
  <c r="T116" i="11" s="1"/>
  <c r="U116" i="11" s="1"/>
  <c r="I98" i="11"/>
  <c r="I77" i="11"/>
  <c r="I53" i="11"/>
  <c r="J53" i="11" s="1"/>
  <c r="K53" i="11" s="1"/>
  <c r="L53" i="11" s="1"/>
  <c r="M53" i="11" s="1"/>
  <c r="N53" i="11" s="1"/>
  <c r="O53" i="11" s="1"/>
  <c r="P53" i="11" s="1"/>
  <c r="Q53" i="11" s="1"/>
  <c r="R53" i="11" s="1"/>
  <c r="S53" i="11" s="1"/>
  <c r="T53" i="11" s="1"/>
  <c r="U53" i="11" s="1"/>
  <c r="I54" i="11"/>
  <c r="J54" i="11" s="1"/>
  <c r="K54" i="11" s="1"/>
  <c r="L54" i="11" s="1"/>
  <c r="M54" i="11" s="1"/>
  <c r="N54" i="11" s="1"/>
  <c r="O54" i="11" s="1"/>
  <c r="P54" i="11" s="1"/>
  <c r="Q54" i="11" s="1"/>
  <c r="R54" i="11" s="1"/>
  <c r="S54" i="11" s="1"/>
  <c r="T54" i="11" s="1"/>
  <c r="U54" i="11" s="1"/>
  <c r="E155" i="11"/>
  <c r="F155" i="11"/>
  <c r="G155" i="11"/>
  <c r="E260" i="11"/>
  <c r="F260" i="11"/>
  <c r="G260" i="11"/>
  <c r="D32" i="9" l="1"/>
  <c r="U47" i="3"/>
  <c r="C25" i="9"/>
  <c r="B25" i="9" s="1"/>
  <c r="L26" i="9"/>
  <c r="K98" i="10" s="1"/>
  <c r="M26" i="9"/>
  <c r="L98" i="10" s="1"/>
  <c r="N26" i="9"/>
  <c r="M98" i="10" s="1"/>
  <c r="K26" i="9"/>
  <c r="J98" i="10" s="1"/>
  <c r="O26" i="9"/>
  <c r="N98" i="10" s="1"/>
  <c r="P26" i="9"/>
  <c r="O98" i="10" s="1"/>
  <c r="J26" i="9"/>
  <c r="I98" i="10" s="1"/>
  <c r="I26" i="9"/>
  <c r="H98" i="10" s="1"/>
  <c r="C24" i="9"/>
  <c r="B24" i="9" s="1"/>
  <c r="C33" i="9"/>
  <c r="C32" i="9"/>
  <c r="D33" i="9"/>
  <c r="M13" i="2"/>
  <c r="J369" i="2"/>
  <c r="K287" i="11"/>
  <c r="K266" i="11"/>
  <c r="K224" i="11"/>
  <c r="J203" i="11"/>
  <c r="K182" i="11"/>
  <c r="K161" i="11"/>
  <c r="K140" i="11"/>
  <c r="K119" i="11"/>
  <c r="J98" i="11"/>
  <c r="J77" i="11"/>
  <c r="I215" i="11"/>
  <c r="E56" i="11"/>
  <c r="F56" i="11"/>
  <c r="G56" i="11"/>
  <c r="H13" i="11"/>
  <c r="E13" i="11"/>
  <c r="F13" i="11"/>
  <c r="G13" i="11"/>
  <c r="C13" i="11" s="1"/>
  <c r="H155" i="11"/>
  <c r="H92" i="11"/>
  <c r="F96" i="11"/>
  <c r="G96" i="11"/>
  <c r="F92" i="11"/>
  <c r="G92" i="11"/>
  <c r="F139" i="11"/>
  <c r="G134" i="11"/>
  <c r="E134" i="11"/>
  <c r="H71" i="11"/>
  <c r="V43" i="13"/>
  <c r="W43" i="13"/>
  <c r="U43" i="13"/>
  <c r="V42" i="13"/>
  <c r="W42" i="13"/>
  <c r="U42" i="13"/>
  <c r="W39" i="13"/>
  <c r="W40" i="13" s="1"/>
  <c r="V39" i="13"/>
  <c r="V40" i="13" s="1"/>
  <c r="U39" i="13"/>
  <c r="U40" i="13" s="1"/>
  <c r="X28" i="13"/>
  <c r="W28" i="13"/>
  <c r="V28" i="13"/>
  <c r="U28" i="13"/>
  <c r="X21" i="13"/>
  <c r="Y21" i="13" s="1"/>
  <c r="W21" i="13"/>
  <c r="G71" i="11" s="1"/>
  <c r="V21" i="13"/>
  <c r="F71" i="11" s="1"/>
  <c r="U21" i="13"/>
  <c r="E71" i="11" s="1"/>
  <c r="X12" i="13"/>
  <c r="Y12" i="13" s="1"/>
  <c r="W12" i="13"/>
  <c r="G29" i="11" s="1"/>
  <c r="V12" i="13"/>
  <c r="F29" i="11" s="1"/>
  <c r="U12" i="13"/>
  <c r="E29" i="11" s="1"/>
  <c r="Y27" i="13"/>
  <c r="Y26" i="13"/>
  <c r="Y25" i="13"/>
  <c r="Y24" i="13"/>
  <c r="Y23" i="13"/>
  <c r="Y28" i="13" s="1"/>
  <c r="Y20" i="13"/>
  <c r="Y19" i="13"/>
  <c r="Y18" i="13"/>
  <c r="Y17" i="13"/>
  <c r="Y15" i="13"/>
  <c r="Y13" i="13"/>
  <c r="Y11" i="13"/>
  <c r="Y10" i="13"/>
  <c r="Y9" i="13"/>
  <c r="Y8" i="13"/>
  <c r="Y6" i="13"/>
  <c r="Y4" i="13"/>
  <c r="Y3" i="13"/>
  <c r="G286" i="11"/>
  <c r="F286" i="11"/>
  <c r="F281" i="11" s="1"/>
  <c r="E286" i="11"/>
  <c r="E281" i="11" s="1"/>
  <c r="G265" i="11"/>
  <c r="F265" i="11"/>
  <c r="E265" i="11"/>
  <c r="G244" i="11"/>
  <c r="G239" i="11" s="1"/>
  <c r="F244" i="11"/>
  <c r="F239" i="11" s="1"/>
  <c r="E244" i="11"/>
  <c r="E239" i="11" s="1"/>
  <c r="G223" i="11"/>
  <c r="G218" i="11" s="1"/>
  <c r="F223" i="11"/>
  <c r="F218" i="11" s="1"/>
  <c r="E223" i="11"/>
  <c r="E218" i="11" s="1"/>
  <c r="G202" i="11"/>
  <c r="G197" i="11" s="1"/>
  <c r="F202" i="11"/>
  <c r="F197" i="11" s="1"/>
  <c r="E202" i="11"/>
  <c r="E197" i="11" s="1"/>
  <c r="G181" i="11"/>
  <c r="G176" i="11" s="1"/>
  <c r="F181" i="11"/>
  <c r="F176" i="11" s="1"/>
  <c r="E181" i="11"/>
  <c r="E176" i="11" s="1"/>
  <c r="G160" i="11"/>
  <c r="F160" i="11"/>
  <c r="E160" i="11"/>
  <c r="D26" i="9" l="1"/>
  <c r="C26" i="9"/>
  <c r="B33" i="9"/>
  <c r="B32" i="9"/>
  <c r="J348" i="2"/>
  <c r="J367" i="2"/>
  <c r="J334" i="2"/>
  <c r="I96" i="11"/>
  <c r="J96" i="11" s="1"/>
  <c r="K96" i="11" s="1"/>
  <c r="L96" i="11" s="1"/>
  <c r="M96" i="11" s="1"/>
  <c r="N96" i="11" s="1"/>
  <c r="O96" i="11" s="1"/>
  <c r="P96" i="11" s="1"/>
  <c r="Q96" i="11" s="1"/>
  <c r="R96" i="11" s="1"/>
  <c r="S96" i="11" s="1"/>
  <c r="T96" i="11" s="1"/>
  <c r="U96" i="11" s="1"/>
  <c r="L287" i="11"/>
  <c r="L266" i="11"/>
  <c r="L245" i="11"/>
  <c r="L224" i="11"/>
  <c r="K203" i="11"/>
  <c r="L182" i="11"/>
  <c r="L161" i="11"/>
  <c r="L140" i="11"/>
  <c r="L119" i="11"/>
  <c r="K98" i="11"/>
  <c r="K77" i="11"/>
  <c r="G266" i="11"/>
  <c r="H29" i="11"/>
  <c r="E9" i="11"/>
  <c r="G285" i="11"/>
  <c r="C285" i="11" s="1"/>
  <c r="F285" i="11"/>
  <c r="E285" i="11"/>
  <c r="G264" i="11"/>
  <c r="C264" i="11" s="1"/>
  <c r="F264" i="11"/>
  <c r="E264" i="11"/>
  <c r="G243" i="11"/>
  <c r="C243" i="11" s="1"/>
  <c r="F243" i="11"/>
  <c r="E243" i="11"/>
  <c r="G222" i="11"/>
  <c r="C222" i="11" s="1"/>
  <c r="F222" i="11"/>
  <c r="E222" i="11"/>
  <c r="G201" i="11"/>
  <c r="C201" i="11" s="1"/>
  <c r="F201" i="11"/>
  <c r="E201" i="11"/>
  <c r="G180" i="11"/>
  <c r="C180" i="11" s="1"/>
  <c r="F180" i="11"/>
  <c r="E180" i="11"/>
  <c r="C54" i="11"/>
  <c r="G159" i="11"/>
  <c r="C159" i="11" s="1"/>
  <c r="F159" i="11"/>
  <c r="E159" i="11"/>
  <c r="G138" i="11"/>
  <c r="C138" i="11" s="1"/>
  <c r="F138" i="11"/>
  <c r="E138" i="11"/>
  <c r="C117" i="11"/>
  <c r="C96" i="11"/>
  <c r="G75" i="11"/>
  <c r="C75" i="11" s="1"/>
  <c r="F75" i="11"/>
  <c r="E75" i="11"/>
  <c r="F33" i="11"/>
  <c r="G33" i="11"/>
  <c r="C33" i="11" s="1"/>
  <c r="E33" i="11"/>
  <c r="AC78" i="11"/>
  <c r="AB78" i="11"/>
  <c r="AC77" i="11"/>
  <c r="AB77" i="11"/>
  <c r="AC75" i="11"/>
  <c r="AA78" i="11"/>
  <c r="Z78" i="11"/>
  <c r="AA77" i="11"/>
  <c r="Z77" i="11"/>
  <c r="AB75" i="11"/>
  <c r="Y77" i="11"/>
  <c r="Y78" i="11"/>
  <c r="X78" i="11"/>
  <c r="X77" i="11"/>
  <c r="X75" i="11"/>
  <c r="AA75" i="11"/>
  <c r="Z75" i="11"/>
  <c r="Y75" i="11"/>
  <c r="H287" i="11"/>
  <c r="C286" i="11"/>
  <c r="AI37" i="11" s="1"/>
  <c r="G284" i="11"/>
  <c r="G283" i="11"/>
  <c r="G274" i="11"/>
  <c r="C274" i="11" s="1"/>
  <c r="AI6" i="11" s="1"/>
  <c r="F274" i="11"/>
  <c r="E274" i="11"/>
  <c r="G273" i="11"/>
  <c r="F273" i="11"/>
  <c r="E273" i="11"/>
  <c r="H271" i="11"/>
  <c r="D48" i="4"/>
  <c r="E48" i="4"/>
  <c r="C48" i="4"/>
  <c r="H266" i="11"/>
  <c r="C265" i="11"/>
  <c r="AH37" i="11" s="1"/>
  <c r="G263" i="11"/>
  <c r="F263" i="11"/>
  <c r="E263" i="11"/>
  <c r="G262" i="11"/>
  <c r="F262" i="11"/>
  <c r="E262" i="11"/>
  <c r="C260" i="11"/>
  <c r="AH33" i="11" s="1"/>
  <c r="G254" i="11"/>
  <c r="C254" i="11" s="1"/>
  <c r="F254" i="11"/>
  <c r="E254" i="11"/>
  <c r="G253" i="11"/>
  <c r="C253" i="11" s="1"/>
  <c r="AH6" i="11" s="1"/>
  <c r="F253" i="11"/>
  <c r="E253" i="11"/>
  <c r="G252" i="11"/>
  <c r="F252" i="11"/>
  <c r="E252" i="11"/>
  <c r="H250" i="11"/>
  <c r="G250" i="11"/>
  <c r="C250" i="11" s="1"/>
  <c r="AH3" i="11" s="1"/>
  <c r="F250" i="11"/>
  <c r="E250" i="11"/>
  <c r="H229" i="11"/>
  <c r="H245" i="11"/>
  <c r="G242" i="11"/>
  <c r="F242" i="11"/>
  <c r="E242" i="11"/>
  <c r="G241" i="11"/>
  <c r="F241" i="11"/>
  <c r="E241" i="11"/>
  <c r="C239" i="11"/>
  <c r="AG33" i="11" s="1"/>
  <c r="G232" i="11"/>
  <c r="C232" i="11" s="1"/>
  <c r="AG6" i="11" s="1"/>
  <c r="F232" i="11"/>
  <c r="E232" i="11"/>
  <c r="G231" i="11"/>
  <c r="F231" i="11"/>
  <c r="E231" i="11"/>
  <c r="F229" i="11"/>
  <c r="E229" i="11"/>
  <c r="E187" i="11"/>
  <c r="F187" i="11"/>
  <c r="G187" i="11"/>
  <c r="C187" i="11" s="1"/>
  <c r="AE3" i="11" s="1"/>
  <c r="E189" i="11"/>
  <c r="F189" i="11"/>
  <c r="G189" i="11"/>
  <c r="E190" i="11"/>
  <c r="F190" i="11"/>
  <c r="G190" i="11"/>
  <c r="C190" i="11" s="1"/>
  <c r="AE6" i="11" s="1"/>
  <c r="H224" i="11"/>
  <c r="G221" i="11"/>
  <c r="F221" i="11"/>
  <c r="E221" i="11"/>
  <c r="G220" i="11"/>
  <c r="F220" i="11"/>
  <c r="E220" i="11"/>
  <c r="C218" i="11"/>
  <c r="AF33" i="11" s="1"/>
  <c r="G212" i="11"/>
  <c r="C212" i="11" s="1"/>
  <c r="C211" i="11"/>
  <c r="AF6" i="11" s="1"/>
  <c r="G205" i="11"/>
  <c r="C205" i="11" s="1"/>
  <c r="AE40" i="11" s="1"/>
  <c r="F205" i="11"/>
  <c r="E205" i="11"/>
  <c r="H203" i="11"/>
  <c r="C202" i="11"/>
  <c r="AE37" i="11" s="1"/>
  <c r="G200" i="11"/>
  <c r="F200" i="11"/>
  <c r="E200" i="11"/>
  <c r="G199" i="11"/>
  <c r="F199" i="11"/>
  <c r="E199" i="11"/>
  <c r="C197" i="11"/>
  <c r="AE33" i="11" s="1"/>
  <c r="G195" i="11"/>
  <c r="C195" i="11" s="1"/>
  <c r="AE10" i="11" s="1"/>
  <c r="F195" i="11"/>
  <c r="E195" i="11"/>
  <c r="C181" i="11"/>
  <c r="AD37" i="11" s="1"/>
  <c r="C160" i="11"/>
  <c r="AC37" i="11" s="1"/>
  <c r="H182" i="11"/>
  <c r="G179" i="11"/>
  <c r="F179" i="11"/>
  <c r="E179" i="11"/>
  <c r="G178" i="11"/>
  <c r="F178" i="11"/>
  <c r="E178" i="11"/>
  <c r="C176" i="11"/>
  <c r="AD33" i="11" s="1"/>
  <c r="G170" i="11"/>
  <c r="C170" i="11" s="1"/>
  <c r="F170" i="11"/>
  <c r="E170" i="11"/>
  <c r="G169" i="11"/>
  <c r="C169" i="11" s="1"/>
  <c r="AD6" i="11" s="1"/>
  <c r="F169" i="11"/>
  <c r="E169" i="11"/>
  <c r="G168" i="11"/>
  <c r="F168" i="11"/>
  <c r="E168" i="11"/>
  <c r="H166" i="11"/>
  <c r="G166" i="11"/>
  <c r="C166" i="11" s="1"/>
  <c r="AD3" i="11" s="1"/>
  <c r="F166" i="11"/>
  <c r="E166" i="11"/>
  <c r="H161" i="11"/>
  <c r="G158" i="11"/>
  <c r="F158" i="11"/>
  <c r="E158" i="11"/>
  <c r="G157" i="11"/>
  <c r="F157" i="11"/>
  <c r="E157" i="11"/>
  <c r="C155" i="11"/>
  <c r="AC33" i="11" s="1"/>
  <c r="G148" i="11"/>
  <c r="C148" i="11" s="1"/>
  <c r="AC6" i="11" s="1"/>
  <c r="F148" i="11"/>
  <c r="E148" i="11"/>
  <c r="G147" i="11"/>
  <c r="F147" i="11"/>
  <c r="E147" i="11"/>
  <c r="H145" i="11"/>
  <c r="G145" i="11"/>
  <c r="C145" i="11" s="1"/>
  <c r="AC3" i="11" s="1"/>
  <c r="F145" i="11"/>
  <c r="E145" i="11"/>
  <c r="H140" i="11"/>
  <c r="G137" i="11"/>
  <c r="F137" i="11"/>
  <c r="E137" i="11"/>
  <c r="G136" i="11"/>
  <c r="F136" i="11"/>
  <c r="E136" i="11"/>
  <c r="C134" i="11"/>
  <c r="AB33" i="11" s="1"/>
  <c r="G128" i="11"/>
  <c r="C128" i="11" s="1"/>
  <c r="F128" i="11"/>
  <c r="E128" i="11"/>
  <c r="G127" i="11"/>
  <c r="C127" i="11" s="1"/>
  <c r="AB6" i="11" s="1"/>
  <c r="F127" i="11"/>
  <c r="E127" i="11"/>
  <c r="G126" i="11"/>
  <c r="F126" i="11"/>
  <c r="E126" i="11"/>
  <c r="H124" i="11"/>
  <c r="G124" i="11"/>
  <c r="C124" i="11" s="1"/>
  <c r="AB3" i="11" s="1"/>
  <c r="F124" i="11"/>
  <c r="E124" i="11"/>
  <c r="F104" i="11"/>
  <c r="G104" i="11"/>
  <c r="G103" i="11" s="1"/>
  <c r="E104" i="11"/>
  <c r="B26" i="9" l="1"/>
  <c r="K380" i="2"/>
  <c r="K377" i="2"/>
  <c r="K374" i="2"/>
  <c r="K371" i="2"/>
  <c r="K376" i="2"/>
  <c r="K378" i="2"/>
  <c r="J324" i="2"/>
  <c r="J332" i="2"/>
  <c r="J340" i="2"/>
  <c r="J338" i="2" s="1"/>
  <c r="J346" i="2"/>
  <c r="I264" i="11"/>
  <c r="J264" i="11" s="1"/>
  <c r="K264" i="11" s="1"/>
  <c r="L264" i="11" s="1"/>
  <c r="M264" i="11" s="1"/>
  <c r="N264" i="11" s="1"/>
  <c r="O264" i="11" s="1"/>
  <c r="P264" i="11" s="1"/>
  <c r="Q264" i="11" s="1"/>
  <c r="R264" i="11" s="1"/>
  <c r="S264" i="11" s="1"/>
  <c r="T264" i="11" s="1"/>
  <c r="U264" i="11" s="1"/>
  <c r="D264" i="11" s="1"/>
  <c r="I159" i="11"/>
  <c r="J159" i="11" s="1"/>
  <c r="K159" i="11" s="1"/>
  <c r="L159" i="11" s="1"/>
  <c r="M159" i="11" s="1"/>
  <c r="N159" i="11" s="1"/>
  <c r="O159" i="11" s="1"/>
  <c r="P159" i="11" s="1"/>
  <c r="Q159" i="11" s="1"/>
  <c r="R159" i="11" s="1"/>
  <c r="S159" i="11" s="1"/>
  <c r="T159" i="11" s="1"/>
  <c r="U159" i="11" s="1"/>
  <c r="D159" i="11" s="1"/>
  <c r="I285" i="11"/>
  <c r="J285" i="11" s="1"/>
  <c r="K285" i="11" s="1"/>
  <c r="L285" i="11" s="1"/>
  <c r="M285" i="11" s="1"/>
  <c r="N285" i="11" s="1"/>
  <c r="O285" i="11" s="1"/>
  <c r="P285" i="11" s="1"/>
  <c r="Q285" i="11" s="1"/>
  <c r="R285" i="11" s="1"/>
  <c r="S285" i="11" s="1"/>
  <c r="T285" i="11" s="1"/>
  <c r="U285" i="11" s="1"/>
  <c r="D285" i="11" s="1"/>
  <c r="E76" i="11"/>
  <c r="I75" i="11"/>
  <c r="J75" i="11" s="1"/>
  <c r="K75" i="11" s="1"/>
  <c r="L75" i="11" s="1"/>
  <c r="M75" i="11" s="1"/>
  <c r="N75" i="11" s="1"/>
  <c r="O75" i="11" s="1"/>
  <c r="P75" i="11" s="1"/>
  <c r="Q75" i="11" s="1"/>
  <c r="R75" i="11" s="1"/>
  <c r="S75" i="11" s="1"/>
  <c r="T75" i="11" s="1"/>
  <c r="U75" i="11" s="1"/>
  <c r="D75" i="11" s="1"/>
  <c r="C263" i="11"/>
  <c r="AH36" i="11" s="1"/>
  <c r="I263" i="11"/>
  <c r="J263" i="11" s="1"/>
  <c r="K263" i="11" s="1"/>
  <c r="L263" i="11" s="1"/>
  <c r="M263" i="11" s="1"/>
  <c r="N263" i="11" s="1"/>
  <c r="O263" i="11" s="1"/>
  <c r="P263" i="11" s="1"/>
  <c r="Q263" i="11" s="1"/>
  <c r="R263" i="11" s="1"/>
  <c r="S263" i="11" s="1"/>
  <c r="T263" i="11" s="1"/>
  <c r="U263" i="11" s="1"/>
  <c r="D263" i="11" s="1"/>
  <c r="AH45" i="11" s="1"/>
  <c r="I222" i="11"/>
  <c r="J222" i="11" s="1"/>
  <c r="K222" i="11" s="1"/>
  <c r="L222" i="11" s="1"/>
  <c r="M222" i="11" s="1"/>
  <c r="N222" i="11" s="1"/>
  <c r="O222" i="11" s="1"/>
  <c r="P222" i="11" s="1"/>
  <c r="Q222" i="11" s="1"/>
  <c r="R222" i="11" s="1"/>
  <c r="S222" i="11" s="1"/>
  <c r="T222" i="11" s="1"/>
  <c r="U222" i="11" s="1"/>
  <c r="D222" i="11" s="1"/>
  <c r="C242" i="11"/>
  <c r="AG36" i="11" s="1"/>
  <c r="I242" i="11"/>
  <c r="J242" i="11" s="1"/>
  <c r="K242" i="11" s="1"/>
  <c r="L242" i="11" s="1"/>
  <c r="M242" i="11" s="1"/>
  <c r="N242" i="11" s="1"/>
  <c r="O242" i="11" s="1"/>
  <c r="P242" i="11" s="1"/>
  <c r="Q242" i="11" s="1"/>
  <c r="R242" i="11" s="1"/>
  <c r="S242" i="11" s="1"/>
  <c r="T242" i="11" s="1"/>
  <c r="U242" i="11" s="1"/>
  <c r="D242" i="11" s="1"/>
  <c r="AG45" i="11" s="1"/>
  <c r="I180" i="11"/>
  <c r="J180" i="11" s="1"/>
  <c r="K180" i="11" s="1"/>
  <c r="L180" i="11" s="1"/>
  <c r="M180" i="11" s="1"/>
  <c r="N180" i="11" s="1"/>
  <c r="O180" i="11" s="1"/>
  <c r="P180" i="11" s="1"/>
  <c r="Q180" i="11" s="1"/>
  <c r="R180" i="11" s="1"/>
  <c r="S180" i="11" s="1"/>
  <c r="T180" i="11" s="1"/>
  <c r="U180" i="11" s="1"/>
  <c r="D180" i="11" s="1"/>
  <c r="C200" i="11"/>
  <c r="AE36" i="11" s="1"/>
  <c r="I200" i="11"/>
  <c r="J200" i="11" s="1"/>
  <c r="K200" i="11" s="1"/>
  <c r="L200" i="11" s="1"/>
  <c r="M200" i="11" s="1"/>
  <c r="N200" i="11" s="1"/>
  <c r="O200" i="11" s="1"/>
  <c r="P200" i="11" s="1"/>
  <c r="Q200" i="11" s="1"/>
  <c r="R200" i="11" s="1"/>
  <c r="S200" i="11" s="1"/>
  <c r="T200" i="11" s="1"/>
  <c r="U200" i="11" s="1"/>
  <c r="D200" i="11" s="1"/>
  <c r="AE45" i="11" s="1"/>
  <c r="I138" i="11"/>
  <c r="J138" i="11" s="1"/>
  <c r="K138" i="11" s="1"/>
  <c r="L138" i="11" s="1"/>
  <c r="M138" i="11" s="1"/>
  <c r="N138" i="11" s="1"/>
  <c r="O138" i="11" s="1"/>
  <c r="P138" i="11" s="1"/>
  <c r="Q138" i="11" s="1"/>
  <c r="R138" i="11" s="1"/>
  <c r="S138" i="11" s="1"/>
  <c r="T138" i="11" s="1"/>
  <c r="U138" i="11" s="1"/>
  <c r="D138" i="11" s="1"/>
  <c r="I243" i="11"/>
  <c r="J243" i="11" s="1"/>
  <c r="K243" i="11" s="1"/>
  <c r="L243" i="11" s="1"/>
  <c r="M243" i="11" s="1"/>
  <c r="N243" i="11" s="1"/>
  <c r="O243" i="11" s="1"/>
  <c r="P243" i="11" s="1"/>
  <c r="Q243" i="11" s="1"/>
  <c r="R243" i="11" s="1"/>
  <c r="S243" i="11" s="1"/>
  <c r="T243" i="11" s="1"/>
  <c r="U243" i="11" s="1"/>
  <c r="D243" i="11" s="1"/>
  <c r="C179" i="11"/>
  <c r="AD36" i="11" s="1"/>
  <c r="I179" i="11"/>
  <c r="J179" i="11" s="1"/>
  <c r="K179" i="11" s="1"/>
  <c r="L179" i="11" s="1"/>
  <c r="M179" i="11" s="1"/>
  <c r="N179" i="11" s="1"/>
  <c r="O179" i="11" s="1"/>
  <c r="P179" i="11" s="1"/>
  <c r="Q179" i="11" s="1"/>
  <c r="R179" i="11" s="1"/>
  <c r="S179" i="11" s="1"/>
  <c r="T179" i="11" s="1"/>
  <c r="U179" i="11" s="1"/>
  <c r="D179" i="11" s="1"/>
  <c r="AD45" i="11" s="1"/>
  <c r="C284" i="11"/>
  <c r="AI36" i="11" s="1"/>
  <c r="I284" i="11"/>
  <c r="J284" i="11" s="1"/>
  <c r="K284" i="11" s="1"/>
  <c r="L284" i="11" s="1"/>
  <c r="M284" i="11" s="1"/>
  <c r="N284" i="11" s="1"/>
  <c r="O284" i="11" s="1"/>
  <c r="P284" i="11" s="1"/>
  <c r="Q284" i="11" s="1"/>
  <c r="R284" i="11" s="1"/>
  <c r="S284" i="11" s="1"/>
  <c r="T284" i="11" s="1"/>
  <c r="U284" i="11" s="1"/>
  <c r="D284" i="11" s="1"/>
  <c r="AI45" i="11" s="1"/>
  <c r="C137" i="11"/>
  <c r="AB36" i="11" s="1"/>
  <c r="I137" i="11"/>
  <c r="J137" i="11" s="1"/>
  <c r="K137" i="11" s="1"/>
  <c r="L137" i="11" s="1"/>
  <c r="M137" i="11" s="1"/>
  <c r="N137" i="11" s="1"/>
  <c r="O137" i="11" s="1"/>
  <c r="P137" i="11" s="1"/>
  <c r="Q137" i="11" s="1"/>
  <c r="R137" i="11" s="1"/>
  <c r="S137" i="11" s="1"/>
  <c r="T137" i="11" s="1"/>
  <c r="U137" i="11" s="1"/>
  <c r="D137" i="11" s="1"/>
  <c r="AB45" i="11" s="1"/>
  <c r="C158" i="11"/>
  <c r="AC36" i="11" s="1"/>
  <c r="I158" i="11"/>
  <c r="J158" i="11" s="1"/>
  <c r="K158" i="11" s="1"/>
  <c r="L158" i="11" s="1"/>
  <c r="M158" i="11" s="1"/>
  <c r="N158" i="11" s="1"/>
  <c r="O158" i="11" s="1"/>
  <c r="P158" i="11" s="1"/>
  <c r="Q158" i="11" s="1"/>
  <c r="R158" i="11" s="1"/>
  <c r="S158" i="11" s="1"/>
  <c r="T158" i="11" s="1"/>
  <c r="U158" i="11" s="1"/>
  <c r="D158" i="11" s="1"/>
  <c r="AC45" i="11" s="1"/>
  <c r="C221" i="11"/>
  <c r="AF36" i="11" s="1"/>
  <c r="I221" i="11"/>
  <c r="J221" i="11" s="1"/>
  <c r="K221" i="11" s="1"/>
  <c r="L221" i="11" s="1"/>
  <c r="M221" i="11" s="1"/>
  <c r="N221" i="11" s="1"/>
  <c r="O221" i="11" s="1"/>
  <c r="P221" i="11" s="1"/>
  <c r="Q221" i="11" s="1"/>
  <c r="R221" i="11" s="1"/>
  <c r="S221" i="11" s="1"/>
  <c r="T221" i="11" s="1"/>
  <c r="U221" i="11" s="1"/>
  <c r="D221" i="11" s="1"/>
  <c r="AF45" i="11" s="1"/>
  <c r="I201" i="11"/>
  <c r="J201" i="11" s="1"/>
  <c r="K201" i="11" s="1"/>
  <c r="L201" i="11" s="1"/>
  <c r="M201" i="11" s="1"/>
  <c r="N201" i="11" s="1"/>
  <c r="O201" i="11" s="1"/>
  <c r="P201" i="11" s="1"/>
  <c r="Q201" i="11" s="1"/>
  <c r="R201" i="11" s="1"/>
  <c r="S201" i="11" s="1"/>
  <c r="T201" i="11" s="1"/>
  <c r="U201" i="11" s="1"/>
  <c r="D201" i="11" s="1"/>
  <c r="M287" i="11"/>
  <c r="M266" i="11"/>
  <c r="M245" i="11"/>
  <c r="M224" i="11"/>
  <c r="L203" i="11"/>
  <c r="M182" i="11"/>
  <c r="M161" i="11"/>
  <c r="M140" i="11"/>
  <c r="M119" i="11"/>
  <c r="L98" i="11"/>
  <c r="L77" i="11"/>
  <c r="F14" i="11"/>
  <c r="E14" i="11"/>
  <c r="G14" i="11"/>
  <c r="C14" i="11" s="1"/>
  <c r="D54" i="11"/>
  <c r="D96" i="11"/>
  <c r="D117" i="11"/>
  <c r="I33" i="11"/>
  <c r="Y76" i="11"/>
  <c r="AC76" i="11"/>
  <c r="AB76" i="11"/>
  <c r="AE78" i="11"/>
  <c r="AA76" i="11"/>
  <c r="Z76" i="11"/>
  <c r="AE77" i="11"/>
  <c r="X76" i="11"/>
  <c r="I232" i="11"/>
  <c r="J232" i="11" s="1"/>
  <c r="K232" i="11" s="1"/>
  <c r="L232" i="11" s="1"/>
  <c r="M232" i="11" s="1"/>
  <c r="N232" i="11" s="1"/>
  <c r="O232" i="11" s="1"/>
  <c r="P232" i="11" s="1"/>
  <c r="Q232" i="11" s="1"/>
  <c r="R232" i="11" s="1"/>
  <c r="S232" i="11" s="1"/>
  <c r="T232" i="11" s="1"/>
  <c r="U232" i="11" s="1"/>
  <c r="D232" i="11" s="1"/>
  <c r="AG15" i="11" s="1"/>
  <c r="AG24" i="11" s="1"/>
  <c r="I274" i="11"/>
  <c r="J274" i="11" s="1"/>
  <c r="K274" i="11" s="1"/>
  <c r="L274" i="11" s="1"/>
  <c r="M274" i="11" s="1"/>
  <c r="N274" i="11" s="1"/>
  <c r="O274" i="11" s="1"/>
  <c r="P274" i="11" s="1"/>
  <c r="Q274" i="11" s="1"/>
  <c r="R274" i="11" s="1"/>
  <c r="S274" i="11" s="1"/>
  <c r="T274" i="11" s="1"/>
  <c r="U274" i="11" s="1"/>
  <c r="D274" i="11" s="1"/>
  <c r="AI15" i="11" s="1"/>
  <c r="AI24" i="11" s="1"/>
  <c r="I169" i="11"/>
  <c r="J169" i="11" s="1"/>
  <c r="K169" i="11" s="1"/>
  <c r="L169" i="11" s="1"/>
  <c r="M169" i="11" s="1"/>
  <c r="N169" i="11" s="1"/>
  <c r="O169" i="11" s="1"/>
  <c r="P169" i="11" s="1"/>
  <c r="Q169" i="11" s="1"/>
  <c r="R169" i="11" s="1"/>
  <c r="S169" i="11" s="1"/>
  <c r="T169" i="11" s="1"/>
  <c r="U169" i="11" s="1"/>
  <c r="D169" i="11" s="1"/>
  <c r="AD15" i="11" s="1"/>
  <c r="G282" i="11"/>
  <c r="F177" i="11"/>
  <c r="G177" i="11"/>
  <c r="C177" i="11" s="1"/>
  <c r="AD34" i="11" s="1"/>
  <c r="F261" i="11"/>
  <c r="F266" i="11"/>
  <c r="I170" i="11"/>
  <c r="J170" i="11" s="1"/>
  <c r="K170" i="11" s="1"/>
  <c r="L170" i="11" s="1"/>
  <c r="M170" i="11" s="1"/>
  <c r="N170" i="11" s="1"/>
  <c r="O170" i="11" s="1"/>
  <c r="P170" i="11" s="1"/>
  <c r="Q170" i="11" s="1"/>
  <c r="R170" i="11" s="1"/>
  <c r="S170" i="11" s="1"/>
  <c r="T170" i="11" s="1"/>
  <c r="U170" i="11" s="1"/>
  <c r="D170" i="11" s="1"/>
  <c r="E188" i="11"/>
  <c r="G261" i="11"/>
  <c r="C261" i="11" s="1"/>
  <c r="AH34" i="11" s="1"/>
  <c r="F219" i="11"/>
  <c r="C283" i="11"/>
  <c r="AI35" i="11" s="1"/>
  <c r="E272" i="11"/>
  <c r="C273" i="11"/>
  <c r="AI5" i="11" s="1"/>
  <c r="F272" i="11"/>
  <c r="G272" i="11"/>
  <c r="E251" i="11"/>
  <c r="E255" i="11" s="1"/>
  <c r="E256" i="11" s="1"/>
  <c r="F251" i="11"/>
  <c r="F255" i="11" s="1"/>
  <c r="F256" i="11" s="1"/>
  <c r="E266" i="11"/>
  <c r="I254" i="11"/>
  <c r="J254" i="11" s="1"/>
  <c r="K254" i="11" s="1"/>
  <c r="L254" i="11" s="1"/>
  <c r="M254" i="11" s="1"/>
  <c r="N254" i="11" s="1"/>
  <c r="O254" i="11" s="1"/>
  <c r="P254" i="11" s="1"/>
  <c r="Q254" i="11" s="1"/>
  <c r="R254" i="11" s="1"/>
  <c r="S254" i="11" s="1"/>
  <c r="T254" i="11" s="1"/>
  <c r="U254" i="11" s="1"/>
  <c r="D254" i="11" s="1"/>
  <c r="C266" i="11"/>
  <c r="AH38" i="11" s="1"/>
  <c r="E261" i="11"/>
  <c r="I253" i="11"/>
  <c r="J253" i="11" s="1"/>
  <c r="K253" i="11" s="1"/>
  <c r="L253" i="11" s="1"/>
  <c r="M253" i="11" s="1"/>
  <c r="N253" i="11" s="1"/>
  <c r="O253" i="11" s="1"/>
  <c r="P253" i="11" s="1"/>
  <c r="Q253" i="11" s="1"/>
  <c r="R253" i="11" s="1"/>
  <c r="S253" i="11" s="1"/>
  <c r="T253" i="11" s="1"/>
  <c r="U253" i="11" s="1"/>
  <c r="D253" i="11" s="1"/>
  <c r="AH15" i="11" s="1"/>
  <c r="AH24" i="11" s="1"/>
  <c r="C252" i="11"/>
  <c r="AH5" i="11" s="1"/>
  <c r="C262" i="11"/>
  <c r="AH35" i="11" s="1"/>
  <c r="G251" i="11"/>
  <c r="C251" i="11" s="1"/>
  <c r="AH4" i="11" s="1"/>
  <c r="F198" i="11"/>
  <c r="F240" i="11"/>
  <c r="F135" i="11"/>
  <c r="G135" i="11"/>
  <c r="F194" i="11"/>
  <c r="E146" i="11"/>
  <c r="G198" i="11"/>
  <c r="C198" i="11" s="1"/>
  <c r="AE34" i="11" s="1"/>
  <c r="G125" i="11"/>
  <c r="C125" i="11" s="1"/>
  <c r="AB4" i="11" s="1"/>
  <c r="F182" i="11"/>
  <c r="I212" i="11"/>
  <c r="J212" i="11" s="1"/>
  <c r="K212" i="11" s="1"/>
  <c r="L212" i="11" s="1"/>
  <c r="M212" i="11" s="1"/>
  <c r="N212" i="11" s="1"/>
  <c r="O212" i="11" s="1"/>
  <c r="P212" i="11" s="1"/>
  <c r="Q212" i="11" s="1"/>
  <c r="R212" i="11" s="1"/>
  <c r="S212" i="11" s="1"/>
  <c r="T212" i="11" s="1"/>
  <c r="U212" i="11" s="1"/>
  <c r="D212" i="11" s="1"/>
  <c r="I190" i="11"/>
  <c r="J190" i="11" s="1"/>
  <c r="K190" i="11" s="1"/>
  <c r="L190" i="11" s="1"/>
  <c r="M190" i="11" s="1"/>
  <c r="N190" i="11" s="1"/>
  <c r="O190" i="11" s="1"/>
  <c r="P190" i="11" s="1"/>
  <c r="Q190" i="11" s="1"/>
  <c r="R190" i="11" s="1"/>
  <c r="S190" i="11" s="1"/>
  <c r="T190" i="11" s="1"/>
  <c r="U190" i="11" s="1"/>
  <c r="D190" i="11" s="1"/>
  <c r="AE15" i="11" s="1"/>
  <c r="AE24" i="11" s="1"/>
  <c r="I127" i="11"/>
  <c r="J127" i="11" s="1"/>
  <c r="K127" i="11" s="1"/>
  <c r="L127" i="11" s="1"/>
  <c r="M127" i="11" s="1"/>
  <c r="N127" i="11" s="1"/>
  <c r="O127" i="11" s="1"/>
  <c r="P127" i="11" s="1"/>
  <c r="Q127" i="11" s="1"/>
  <c r="R127" i="11" s="1"/>
  <c r="S127" i="11" s="1"/>
  <c r="T127" i="11" s="1"/>
  <c r="U127" i="11" s="1"/>
  <c r="D127" i="11" s="1"/>
  <c r="AB15" i="11" s="1"/>
  <c r="AB24" i="11" s="1"/>
  <c r="G194" i="11"/>
  <c r="F245" i="11"/>
  <c r="G245" i="11"/>
  <c r="C245" i="11" s="1"/>
  <c r="AG38" i="11" s="1"/>
  <c r="G240" i="11"/>
  <c r="C240" i="11" s="1"/>
  <c r="AG34" i="11" s="1"/>
  <c r="C244" i="11"/>
  <c r="AG37" i="11" s="1"/>
  <c r="E245" i="11"/>
  <c r="E230" i="11"/>
  <c r="E240" i="11"/>
  <c r="C241" i="11"/>
  <c r="AG35" i="11" s="1"/>
  <c r="F230" i="11"/>
  <c r="G230" i="11"/>
  <c r="C231" i="11"/>
  <c r="AG5" i="11" s="1"/>
  <c r="G188" i="11"/>
  <c r="F188" i="11"/>
  <c r="E224" i="11"/>
  <c r="F224" i="11"/>
  <c r="G224" i="11"/>
  <c r="C224" i="11" s="1"/>
  <c r="AF38" i="11" s="1"/>
  <c r="G219" i="11"/>
  <c r="C219" i="11" s="1"/>
  <c r="AF34" i="11" s="1"/>
  <c r="E219" i="11"/>
  <c r="AF9" i="11"/>
  <c r="I211" i="11"/>
  <c r="J211" i="11" s="1"/>
  <c r="K211" i="11" s="1"/>
  <c r="L211" i="11" s="1"/>
  <c r="M211" i="11" s="1"/>
  <c r="N211" i="11" s="1"/>
  <c r="O211" i="11" s="1"/>
  <c r="P211" i="11" s="1"/>
  <c r="Q211" i="11" s="1"/>
  <c r="R211" i="11" s="1"/>
  <c r="S211" i="11" s="1"/>
  <c r="T211" i="11" s="1"/>
  <c r="U211" i="11" s="1"/>
  <c r="D211" i="11" s="1"/>
  <c r="AF15" i="11" s="1"/>
  <c r="AF24" i="11" s="1"/>
  <c r="C223" i="11"/>
  <c r="AF37" i="11" s="1"/>
  <c r="C220" i="11"/>
  <c r="AF35" i="11" s="1"/>
  <c r="F204" i="11"/>
  <c r="E203" i="11"/>
  <c r="F203" i="11"/>
  <c r="G203" i="11"/>
  <c r="C203" i="11" s="1"/>
  <c r="AE38" i="11" s="1"/>
  <c r="E198" i="11"/>
  <c r="E204" i="11"/>
  <c r="E194" i="11"/>
  <c r="G204" i="11"/>
  <c r="I204" i="11" s="1"/>
  <c r="J204" i="11" s="1"/>
  <c r="K204" i="11" s="1"/>
  <c r="L204" i="11" s="1"/>
  <c r="M204" i="11" s="1"/>
  <c r="C189" i="11"/>
  <c r="AE5" i="11" s="1"/>
  <c r="C199" i="11"/>
  <c r="AE35" i="11" s="1"/>
  <c r="E182" i="11"/>
  <c r="G182" i="11"/>
  <c r="C182" i="11" s="1"/>
  <c r="AD38" i="11" s="1"/>
  <c r="E167" i="11"/>
  <c r="E171" i="11" s="1"/>
  <c r="E172" i="11" s="1"/>
  <c r="C168" i="11"/>
  <c r="AD5" i="11" s="1"/>
  <c r="E177" i="11"/>
  <c r="C178" i="11"/>
  <c r="AD35" i="11" s="1"/>
  <c r="F167" i="11"/>
  <c r="F171" i="11" s="1"/>
  <c r="F172" i="11" s="1"/>
  <c r="G167" i="11"/>
  <c r="C167" i="11" s="1"/>
  <c r="AD4" i="11" s="1"/>
  <c r="E161" i="11"/>
  <c r="F161" i="11"/>
  <c r="G161" i="11"/>
  <c r="C161" i="11" s="1"/>
  <c r="AC38" i="11" s="1"/>
  <c r="G156" i="11"/>
  <c r="C156" i="11" s="1"/>
  <c r="AC34" i="11" s="1"/>
  <c r="E156" i="11"/>
  <c r="G146" i="11"/>
  <c r="C146" i="11" s="1"/>
  <c r="AC4" i="11" s="1"/>
  <c r="I148" i="11"/>
  <c r="J148" i="11" s="1"/>
  <c r="K148" i="11" s="1"/>
  <c r="C157" i="11"/>
  <c r="AC35" i="11" s="1"/>
  <c r="C147" i="11"/>
  <c r="AC5" i="11" s="1"/>
  <c r="F146" i="11"/>
  <c r="F156" i="11"/>
  <c r="I128" i="11"/>
  <c r="J128" i="11" s="1"/>
  <c r="K128" i="11" s="1"/>
  <c r="L128" i="11" s="1"/>
  <c r="M128" i="11" s="1"/>
  <c r="N128" i="11" s="1"/>
  <c r="O128" i="11" s="1"/>
  <c r="P128" i="11" s="1"/>
  <c r="Q128" i="11" s="1"/>
  <c r="R128" i="11" s="1"/>
  <c r="S128" i="11" s="1"/>
  <c r="T128" i="11" s="1"/>
  <c r="U128" i="11" s="1"/>
  <c r="D128" i="11" s="1"/>
  <c r="C126" i="11"/>
  <c r="AB5" i="11" s="1"/>
  <c r="E125" i="11"/>
  <c r="E129" i="11" s="1"/>
  <c r="E130" i="11" s="1"/>
  <c r="E135" i="11"/>
  <c r="E139" i="11" s="1"/>
  <c r="E140" i="11" s="1"/>
  <c r="C136" i="11"/>
  <c r="AB35" i="11" s="1"/>
  <c r="F125" i="11"/>
  <c r="F129" i="11" s="1"/>
  <c r="F130" i="11" s="1"/>
  <c r="F119" i="11"/>
  <c r="G119" i="11"/>
  <c r="E119" i="11"/>
  <c r="C114" i="11"/>
  <c r="C106" i="11"/>
  <c r="H119" i="11"/>
  <c r="D116" i="11"/>
  <c r="C113" i="11"/>
  <c r="L148" i="11" l="1"/>
  <c r="M148" i="11" s="1"/>
  <c r="N148" i="11" s="1"/>
  <c r="O148" i="11" s="1"/>
  <c r="P148" i="11" s="1"/>
  <c r="Q148" i="11" s="1"/>
  <c r="R148" i="11" s="1"/>
  <c r="S148" i="11" s="1"/>
  <c r="T148" i="11" s="1"/>
  <c r="U148" i="11" s="1"/>
  <c r="D148" i="11" s="1"/>
  <c r="AC15" i="11" s="1"/>
  <c r="AC24" i="11" s="1"/>
  <c r="AH378" i="2"/>
  <c r="AG378" i="2"/>
  <c r="AN378" i="2"/>
  <c r="AF378" i="2"/>
  <c r="AM378" i="2"/>
  <c r="AE378" i="2"/>
  <c r="AL378" i="2"/>
  <c r="AD378" i="2"/>
  <c r="AK378" i="2"/>
  <c r="AJ378" i="2"/>
  <c r="AI378" i="2"/>
  <c r="AC378" i="2"/>
  <c r="AH376" i="2"/>
  <c r="AG376" i="2"/>
  <c r="AN376" i="2"/>
  <c r="AF376" i="2"/>
  <c r="AM376" i="2"/>
  <c r="AE376" i="2"/>
  <c r="AK376" i="2"/>
  <c r="AL376" i="2"/>
  <c r="AJ376" i="2"/>
  <c r="AI376" i="2"/>
  <c r="AD376" i="2"/>
  <c r="AC376" i="2"/>
  <c r="C13" i="9"/>
  <c r="AL374" i="2"/>
  <c r="O11" i="9" s="1"/>
  <c r="AD374" i="2"/>
  <c r="G11" i="9" s="1"/>
  <c r="AK374" i="2"/>
  <c r="N11" i="9" s="1"/>
  <c r="AJ374" i="2"/>
  <c r="M11" i="9" s="1"/>
  <c r="AI374" i="2"/>
  <c r="L11" i="9" s="1"/>
  <c r="AG374" i="2"/>
  <c r="J11" i="9" s="1"/>
  <c r="AE374" i="2"/>
  <c r="H11" i="9" s="1"/>
  <c r="AM374" i="2"/>
  <c r="P11" i="9" s="1"/>
  <c r="AH374" i="2"/>
  <c r="K11" i="9" s="1"/>
  <c r="AF374" i="2"/>
  <c r="I11" i="9" s="1"/>
  <c r="AN374" i="2"/>
  <c r="Q11" i="9" s="1"/>
  <c r="AC374" i="2"/>
  <c r="F11" i="9" s="1"/>
  <c r="C11" i="9"/>
  <c r="AL371" i="2"/>
  <c r="AD371" i="2"/>
  <c r="AK371" i="2"/>
  <c r="AJ371" i="2"/>
  <c r="AI371" i="2"/>
  <c r="AG371" i="2"/>
  <c r="AF371" i="2"/>
  <c r="AE371" i="2"/>
  <c r="AN371" i="2"/>
  <c r="AH371" i="2"/>
  <c r="AM371" i="2"/>
  <c r="AC371" i="2"/>
  <c r="AL377" i="2"/>
  <c r="AD377" i="2"/>
  <c r="AK377" i="2"/>
  <c r="AJ377" i="2"/>
  <c r="AI377" i="2"/>
  <c r="AH377" i="2"/>
  <c r="AG377" i="2"/>
  <c r="AM377" i="2"/>
  <c r="AN377" i="2"/>
  <c r="AF377" i="2"/>
  <c r="AE377" i="2"/>
  <c r="AC377" i="2"/>
  <c r="AL380" i="2"/>
  <c r="AD380" i="2"/>
  <c r="AK380" i="2"/>
  <c r="AJ380" i="2"/>
  <c r="AI380" i="2"/>
  <c r="AH380" i="2"/>
  <c r="AG380" i="2"/>
  <c r="AF380" i="2"/>
  <c r="AE380" i="2"/>
  <c r="AN380" i="2"/>
  <c r="AM380" i="2"/>
  <c r="AC380" i="2"/>
  <c r="L324" i="2"/>
  <c r="L8" i="2" s="1"/>
  <c r="M324" i="2"/>
  <c r="M8" i="2" s="1"/>
  <c r="K370" i="2"/>
  <c r="T42" i="3" s="1"/>
  <c r="L369" i="2"/>
  <c r="K373" i="2"/>
  <c r="L372" i="2"/>
  <c r="L6" i="2" s="1"/>
  <c r="J331" i="2"/>
  <c r="N331" i="2" s="1"/>
  <c r="J318" i="2"/>
  <c r="J322" i="2"/>
  <c r="N287" i="11"/>
  <c r="N266" i="11"/>
  <c r="N245" i="11"/>
  <c r="N224" i="11"/>
  <c r="N204" i="11"/>
  <c r="M203" i="11"/>
  <c r="N182" i="11"/>
  <c r="N161" i="11"/>
  <c r="N140" i="11"/>
  <c r="N119" i="11"/>
  <c r="M98" i="11"/>
  <c r="M77" i="11"/>
  <c r="M56" i="11"/>
  <c r="C282" i="11"/>
  <c r="AI34" i="11" s="1"/>
  <c r="G281" i="11"/>
  <c r="G287" i="11" s="1"/>
  <c r="C287" i="11" s="1"/>
  <c r="AI38" i="11" s="1"/>
  <c r="C272" i="11"/>
  <c r="AI4" i="11" s="1"/>
  <c r="C194" i="11"/>
  <c r="AE9" i="11" s="1"/>
  <c r="I194" i="11"/>
  <c r="J194" i="11" s="1"/>
  <c r="C204" i="11"/>
  <c r="AE39" i="11" s="1"/>
  <c r="C135" i="11"/>
  <c r="AB34" i="11" s="1"/>
  <c r="G139" i="11"/>
  <c r="J33" i="11"/>
  <c r="AE76" i="11"/>
  <c r="AC84" i="11" s="1"/>
  <c r="AG76" i="11"/>
  <c r="AF76" i="11"/>
  <c r="J256" i="11"/>
  <c r="G255" i="11"/>
  <c r="C188" i="11"/>
  <c r="AE4" i="11" s="1"/>
  <c r="G129" i="11"/>
  <c r="C129" i="11" s="1"/>
  <c r="AB7" i="11" s="1"/>
  <c r="C230" i="11"/>
  <c r="AG4" i="11" s="1"/>
  <c r="C214" i="11"/>
  <c r="AF8" i="11" s="1"/>
  <c r="G171" i="11"/>
  <c r="G109" i="11"/>
  <c r="C119" i="11"/>
  <c r="I106" i="11"/>
  <c r="J106" i="11" s="1"/>
  <c r="K106" i="11" s="1"/>
  <c r="L106" i="11" s="1"/>
  <c r="M106" i="11" s="1"/>
  <c r="N106" i="11" s="1"/>
  <c r="O106" i="11" s="1"/>
  <c r="P106" i="11" s="1"/>
  <c r="Q106" i="11" s="1"/>
  <c r="R106" i="11" s="1"/>
  <c r="S106" i="11" s="1"/>
  <c r="T106" i="11" s="1"/>
  <c r="U106" i="11" s="1"/>
  <c r="D106" i="11" s="1"/>
  <c r="C104" i="11"/>
  <c r="C115" i="11"/>
  <c r="C116" i="11"/>
  <c r="C103" i="11"/>
  <c r="C118" i="11"/>
  <c r="C105" i="11"/>
  <c r="T44" i="3" l="1"/>
  <c r="T46" i="3" s="1"/>
  <c r="T34" i="3"/>
  <c r="K39" i="9"/>
  <c r="H39" i="9"/>
  <c r="L39" i="9"/>
  <c r="M39" i="9"/>
  <c r="Q39" i="9"/>
  <c r="N39" i="9"/>
  <c r="I39" i="9"/>
  <c r="G39" i="9"/>
  <c r="O39" i="9"/>
  <c r="P39" i="9"/>
  <c r="K369" i="2"/>
  <c r="K5" i="2" s="1"/>
  <c r="T32" i="3"/>
  <c r="J39" i="9"/>
  <c r="F13" i="9"/>
  <c r="F41" i="9" s="1"/>
  <c r="I13" i="9"/>
  <c r="I41" i="9" s="1"/>
  <c r="M13" i="9"/>
  <c r="M41" i="9" s="1"/>
  <c r="H13" i="9"/>
  <c r="H41" i="9" s="1"/>
  <c r="Q13" i="9"/>
  <c r="Q41" i="9" s="1"/>
  <c r="B11" i="9"/>
  <c r="L13" i="9"/>
  <c r="L41" i="9" s="1"/>
  <c r="J13" i="9"/>
  <c r="J41" i="9" s="1"/>
  <c r="K13" i="9"/>
  <c r="K41" i="9" s="1"/>
  <c r="K372" i="2"/>
  <c r="K6" i="2" s="1"/>
  <c r="AH373" i="2"/>
  <c r="K12" i="9" s="1"/>
  <c r="K40" i="9" s="1"/>
  <c r="AG373" i="2"/>
  <c r="J12" i="9" s="1"/>
  <c r="J40" i="9" s="1"/>
  <c r="AN373" i="2"/>
  <c r="Q12" i="9" s="1"/>
  <c r="Q40" i="9" s="1"/>
  <c r="AF373" i="2"/>
  <c r="I12" i="9" s="1"/>
  <c r="I40" i="9" s="1"/>
  <c r="AM373" i="2"/>
  <c r="P12" i="9" s="1"/>
  <c r="P40" i="9" s="1"/>
  <c r="AE373" i="2"/>
  <c r="H12" i="9" s="1"/>
  <c r="H40" i="9" s="1"/>
  <c r="AK373" i="2"/>
  <c r="N12" i="9" s="1"/>
  <c r="N40" i="9" s="1"/>
  <c r="AL373" i="2"/>
  <c r="O12" i="9" s="1"/>
  <c r="O40" i="9" s="1"/>
  <c r="AJ373" i="2"/>
  <c r="M12" i="9" s="1"/>
  <c r="M40" i="9" s="1"/>
  <c r="AI373" i="2"/>
  <c r="L12" i="9" s="1"/>
  <c r="L40" i="9" s="1"/>
  <c r="AD373" i="2"/>
  <c r="G12" i="9" s="1"/>
  <c r="G40" i="9" s="1"/>
  <c r="AC373" i="2"/>
  <c r="F12" i="9" s="1"/>
  <c r="F40" i="9" s="1"/>
  <c r="C12" i="9"/>
  <c r="G13" i="9"/>
  <c r="G41" i="9" s="1"/>
  <c r="O13" i="9"/>
  <c r="O41" i="9" s="1"/>
  <c r="AH370" i="2"/>
  <c r="K6" i="9" s="1"/>
  <c r="L49" i="3" s="1"/>
  <c r="AG370" i="2"/>
  <c r="J6" i="9" s="1"/>
  <c r="K49" i="3" s="1"/>
  <c r="AN370" i="2"/>
  <c r="Q6" i="9" s="1"/>
  <c r="R49" i="3" s="1"/>
  <c r="AF370" i="2"/>
  <c r="I6" i="9" s="1"/>
  <c r="J49" i="3" s="1"/>
  <c r="AM370" i="2"/>
  <c r="P6" i="9" s="1"/>
  <c r="Q49" i="3" s="1"/>
  <c r="AE370" i="2"/>
  <c r="H6" i="9" s="1"/>
  <c r="I49" i="3" s="1"/>
  <c r="AK370" i="2"/>
  <c r="N6" i="9" s="1"/>
  <c r="O49" i="3" s="1"/>
  <c r="AL370" i="2"/>
  <c r="O6" i="9" s="1"/>
  <c r="P49" i="3" s="1"/>
  <c r="AJ370" i="2"/>
  <c r="M6" i="9" s="1"/>
  <c r="N49" i="3" s="1"/>
  <c r="AD370" i="2"/>
  <c r="G6" i="9" s="1"/>
  <c r="H49" i="3" s="1"/>
  <c r="AI370" i="2"/>
  <c r="L6" i="9" s="1"/>
  <c r="M49" i="3" s="1"/>
  <c r="AC370" i="2"/>
  <c r="F6" i="9" s="1"/>
  <c r="G49" i="3" s="1"/>
  <c r="C6" i="9"/>
  <c r="N13" i="9"/>
  <c r="N41" i="9" s="1"/>
  <c r="P13" i="9"/>
  <c r="P41" i="9" s="1"/>
  <c r="L367" i="2"/>
  <c r="L5" i="2"/>
  <c r="L322" i="2"/>
  <c r="M322" i="2"/>
  <c r="J307" i="2"/>
  <c r="J316" i="2"/>
  <c r="J315" i="2" s="1"/>
  <c r="O287" i="11"/>
  <c r="O266" i="11"/>
  <c r="O245" i="11"/>
  <c r="O224" i="11"/>
  <c r="N203" i="11"/>
  <c r="O204" i="11"/>
  <c r="O182" i="11"/>
  <c r="O161" i="11"/>
  <c r="O140" i="11"/>
  <c r="O119" i="11"/>
  <c r="N98" i="11"/>
  <c r="N77" i="11"/>
  <c r="N56" i="11"/>
  <c r="G9" i="11"/>
  <c r="C281" i="11"/>
  <c r="AI33" i="11" s="1"/>
  <c r="C139" i="11"/>
  <c r="AB37" i="11" s="1"/>
  <c r="G140" i="11"/>
  <c r="K33" i="11"/>
  <c r="AA84" i="11"/>
  <c r="J277" i="11"/>
  <c r="K256" i="11"/>
  <c r="C255" i="11"/>
  <c r="AH7" i="11" s="1"/>
  <c r="G256" i="11"/>
  <c r="C256" i="11" s="1"/>
  <c r="AH8" i="11" s="1"/>
  <c r="G130" i="11"/>
  <c r="C130" i="11" s="1"/>
  <c r="AB8" i="11" s="1"/>
  <c r="J215" i="11"/>
  <c r="K194" i="11"/>
  <c r="C109" i="11"/>
  <c r="J109" i="11"/>
  <c r="K109" i="11" s="1"/>
  <c r="L109" i="11" s="1"/>
  <c r="M109" i="11" s="1"/>
  <c r="N109" i="11" s="1"/>
  <c r="O109" i="11" s="1"/>
  <c r="P109" i="11" s="1"/>
  <c r="Q109" i="11" s="1"/>
  <c r="R109" i="11" s="1"/>
  <c r="S109" i="11" s="1"/>
  <c r="T109" i="11" s="1"/>
  <c r="U109" i="11" s="1"/>
  <c r="D109" i="11" s="1"/>
  <c r="F109" i="11"/>
  <c r="G172" i="11"/>
  <c r="C171" i="11"/>
  <c r="AD7" i="11" s="1"/>
  <c r="J151" i="11"/>
  <c r="J130" i="11"/>
  <c r="K130" i="11" s="1"/>
  <c r="L130" i="11" s="1"/>
  <c r="M130" i="11" s="1"/>
  <c r="C108" i="11"/>
  <c r="T36" i="3" l="1"/>
  <c r="T47" i="3" s="1"/>
  <c r="K367" i="2"/>
  <c r="K4" i="2" s="1"/>
  <c r="D39" i="9"/>
  <c r="S49" i="3"/>
  <c r="M50" i="3"/>
  <c r="M51" i="3" s="1"/>
  <c r="Q50" i="3"/>
  <c r="Q51" i="3" s="1"/>
  <c r="O50" i="3"/>
  <c r="O51" i="3" s="1"/>
  <c r="J50" i="3"/>
  <c r="J51" i="3" s="1"/>
  <c r="G50" i="3"/>
  <c r="T49" i="3"/>
  <c r="K50" i="3"/>
  <c r="K51" i="3" s="1"/>
  <c r="P50" i="3"/>
  <c r="P51" i="3" s="1"/>
  <c r="R50" i="3"/>
  <c r="R51" i="3" s="1"/>
  <c r="I50" i="3"/>
  <c r="I51" i="3" s="1"/>
  <c r="H50" i="3"/>
  <c r="H51" i="3" s="1"/>
  <c r="N50" i="3"/>
  <c r="N51" i="3" s="1"/>
  <c r="L50" i="3"/>
  <c r="L51" i="3" s="1"/>
  <c r="Q9" i="9"/>
  <c r="I16" i="9"/>
  <c r="I9" i="9"/>
  <c r="Q16" i="9"/>
  <c r="C41" i="9"/>
  <c r="P34" i="9"/>
  <c r="O103" i="10" s="1"/>
  <c r="O105" i="10" s="1"/>
  <c r="D41" i="9"/>
  <c r="H34" i="9"/>
  <c r="G103" i="10" s="1"/>
  <c r="G105" i="10" s="1"/>
  <c r="C40" i="9"/>
  <c r="F34" i="9"/>
  <c r="F7" i="9"/>
  <c r="L34" i="9"/>
  <c r="K103" i="10" s="1"/>
  <c r="K105" i="10" s="1"/>
  <c r="Q34" i="9"/>
  <c r="P103" i="10" s="1"/>
  <c r="P105" i="10" s="1"/>
  <c r="N34" i="9"/>
  <c r="M103" i="10" s="1"/>
  <c r="M105" i="10" s="1"/>
  <c r="I34" i="9"/>
  <c r="H103" i="10" s="1"/>
  <c r="H105" i="10" s="1"/>
  <c r="J34" i="9"/>
  <c r="I103" i="10" s="1"/>
  <c r="I105" i="10" s="1"/>
  <c r="D40" i="9"/>
  <c r="G34" i="9"/>
  <c r="F103" i="10" s="1"/>
  <c r="F105" i="10" s="1"/>
  <c r="K34" i="9"/>
  <c r="J103" i="10" s="1"/>
  <c r="J105" i="10" s="1"/>
  <c r="M34" i="9"/>
  <c r="L103" i="10" s="1"/>
  <c r="L105" i="10" s="1"/>
  <c r="O34" i="9"/>
  <c r="N103" i="10" s="1"/>
  <c r="N105" i="10" s="1"/>
  <c r="M315" i="2"/>
  <c r="M3" i="2" s="1"/>
  <c r="M7" i="2"/>
  <c r="L7" i="2"/>
  <c r="L315" i="2"/>
  <c r="L4" i="2"/>
  <c r="L366" i="2"/>
  <c r="J301" i="2"/>
  <c r="J305" i="2"/>
  <c r="P287" i="11"/>
  <c r="P266" i="11"/>
  <c r="P245" i="11"/>
  <c r="P224" i="11"/>
  <c r="P204" i="11"/>
  <c r="O203" i="11"/>
  <c r="P182" i="11"/>
  <c r="P161" i="11"/>
  <c r="P140" i="11"/>
  <c r="P119" i="11"/>
  <c r="O98" i="11"/>
  <c r="O77" i="11"/>
  <c r="O56" i="11"/>
  <c r="C140" i="11"/>
  <c r="AB38" i="11" s="1"/>
  <c r="L33" i="11"/>
  <c r="K277" i="11"/>
  <c r="L256" i="11"/>
  <c r="C172" i="11"/>
  <c r="AD8" i="11" s="1"/>
  <c r="K215" i="11"/>
  <c r="J214" i="11"/>
  <c r="L194" i="11"/>
  <c r="E109" i="11"/>
  <c r="F103" i="11"/>
  <c r="F108" i="11" s="1"/>
  <c r="K151" i="11"/>
  <c r="N130" i="11"/>
  <c r="K366" i="2" l="1"/>
  <c r="K3" i="2" s="1"/>
  <c r="U49" i="3"/>
  <c r="T50" i="3"/>
  <c r="T51" i="3"/>
  <c r="S50" i="3"/>
  <c r="G51" i="3"/>
  <c r="S51" i="3" s="1"/>
  <c r="F35" i="9"/>
  <c r="C34" i="9"/>
  <c r="D34" i="9"/>
  <c r="F8" i="9"/>
  <c r="G7" i="9"/>
  <c r="H7" i="9" s="1"/>
  <c r="I7" i="9" s="1"/>
  <c r="J7" i="9" s="1"/>
  <c r="K7" i="9" s="1"/>
  <c r="L7" i="9" s="1"/>
  <c r="M7" i="9" s="1"/>
  <c r="N7" i="9" s="1"/>
  <c r="O7" i="9" s="1"/>
  <c r="P7" i="9" s="1"/>
  <c r="Q7" i="9" s="1"/>
  <c r="N315" i="2"/>
  <c r="L3" i="2"/>
  <c r="J295" i="2"/>
  <c r="J299" i="2"/>
  <c r="Q287" i="11"/>
  <c r="Q266" i="11"/>
  <c r="Q245" i="11"/>
  <c r="Q224" i="11"/>
  <c r="P203" i="11"/>
  <c r="Q204" i="11"/>
  <c r="Q182" i="11"/>
  <c r="Q161" i="11"/>
  <c r="Q140" i="11"/>
  <c r="Q119" i="11"/>
  <c r="P98" i="11"/>
  <c r="P77" i="11"/>
  <c r="P56" i="11"/>
  <c r="M33" i="11"/>
  <c r="L277" i="11"/>
  <c r="M256" i="11"/>
  <c r="J172" i="11"/>
  <c r="K172" i="11" s="1"/>
  <c r="L172" i="11" s="1"/>
  <c r="M172" i="11" s="1"/>
  <c r="N172" i="11" s="1"/>
  <c r="O172" i="11" s="1"/>
  <c r="P172" i="11" s="1"/>
  <c r="L215" i="11"/>
  <c r="K214" i="11"/>
  <c r="M194" i="11"/>
  <c r="L151" i="11"/>
  <c r="O130" i="11"/>
  <c r="U51" i="3" l="1"/>
  <c r="U50" i="3"/>
  <c r="G35" i="9"/>
  <c r="H35" i="9" s="1"/>
  <c r="E41" i="10"/>
  <c r="F36" i="9"/>
  <c r="G8" i="9"/>
  <c r="H8" i="9" s="1"/>
  <c r="I8" i="9" s="1"/>
  <c r="J8" i="9" s="1"/>
  <c r="K8" i="9" s="1"/>
  <c r="L8" i="9" s="1"/>
  <c r="M8" i="9" s="1"/>
  <c r="N8" i="9" s="1"/>
  <c r="O8" i="9" s="1"/>
  <c r="P8" i="9" s="1"/>
  <c r="Q8" i="9" s="1"/>
  <c r="B34" i="9"/>
  <c r="J284" i="2"/>
  <c r="J278" i="2" s="1"/>
  <c r="J271" i="2" s="1"/>
  <c r="J293" i="2"/>
  <c r="J292" i="2" s="1"/>
  <c r="R287" i="11"/>
  <c r="R266" i="11"/>
  <c r="R245" i="11"/>
  <c r="R224" i="11"/>
  <c r="R204" i="11"/>
  <c r="Q203" i="11"/>
  <c r="R182" i="11"/>
  <c r="R161" i="11"/>
  <c r="R140" i="11"/>
  <c r="R119" i="11"/>
  <c r="Q98" i="11"/>
  <c r="Q77" i="11"/>
  <c r="Q56" i="11"/>
  <c r="N33" i="11"/>
  <c r="M277" i="11"/>
  <c r="N256" i="11"/>
  <c r="M215" i="11"/>
  <c r="L214" i="11"/>
  <c r="N194" i="11"/>
  <c r="Q172" i="11"/>
  <c r="M151" i="11"/>
  <c r="P130" i="11"/>
  <c r="F41" i="10" l="1"/>
  <c r="G36" i="9"/>
  <c r="H36" i="9" s="1"/>
  <c r="E42" i="10"/>
  <c r="I35" i="9"/>
  <c r="G41" i="10"/>
  <c r="J12" i="2"/>
  <c r="S19" i="3" s="1"/>
  <c r="N292" i="2"/>
  <c r="J240" i="2"/>
  <c r="J269" i="2"/>
  <c r="S287" i="11"/>
  <c r="S266" i="11"/>
  <c r="S245" i="11"/>
  <c r="S224" i="11"/>
  <c r="R203" i="11"/>
  <c r="S204" i="11"/>
  <c r="S182" i="11"/>
  <c r="S161" i="11"/>
  <c r="S140" i="11"/>
  <c r="S119" i="11"/>
  <c r="R98" i="11"/>
  <c r="R77" i="11"/>
  <c r="R56" i="11"/>
  <c r="O33" i="11"/>
  <c r="N277" i="11"/>
  <c r="O256" i="11"/>
  <c r="N215" i="11"/>
  <c r="M214" i="11"/>
  <c r="O194" i="11"/>
  <c r="R172" i="11"/>
  <c r="N151" i="11"/>
  <c r="Q130" i="11"/>
  <c r="F42" i="10" l="1"/>
  <c r="J35" i="9"/>
  <c r="H41" i="10"/>
  <c r="I36" i="9"/>
  <c r="G42" i="10"/>
  <c r="J282" i="2"/>
  <c r="J276" i="2" s="1"/>
  <c r="J268" i="2" s="1"/>
  <c r="N268" i="2" s="1"/>
  <c r="J234" i="2"/>
  <c r="J238" i="2"/>
  <c r="T287" i="11"/>
  <c r="T266" i="11"/>
  <c r="T245" i="11"/>
  <c r="T224" i="11"/>
  <c r="T204" i="11"/>
  <c r="S203" i="11"/>
  <c r="T182" i="11"/>
  <c r="T161" i="11"/>
  <c r="T140" i="11"/>
  <c r="T119" i="11"/>
  <c r="S98" i="11"/>
  <c r="S77" i="11"/>
  <c r="S56" i="11"/>
  <c r="P33" i="11"/>
  <c r="O277" i="11"/>
  <c r="P256" i="11"/>
  <c r="O215" i="11"/>
  <c r="N214" i="11"/>
  <c r="P194" i="11"/>
  <c r="S172" i="11"/>
  <c r="O151" i="11"/>
  <c r="R130" i="11"/>
  <c r="J36" i="9" l="1"/>
  <c r="H42" i="10"/>
  <c r="K35" i="9"/>
  <c r="I41" i="10"/>
  <c r="J228" i="2"/>
  <c r="J232" i="2"/>
  <c r="U287" i="11"/>
  <c r="U266" i="11"/>
  <c r="U245" i="11"/>
  <c r="U224" i="11"/>
  <c r="T203" i="11"/>
  <c r="U204" i="11"/>
  <c r="U182" i="11"/>
  <c r="U161" i="11"/>
  <c r="U140" i="11"/>
  <c r="U119" i="11"/>
  <c r="T98" i="11"/>
  <c r="T77" i="11"/>
  <c r="T56" i="11"/>
  <c r="Q33" i="11"/>
  <c r="P277" i="11"/>
  <c r="Q256" i="11"/>
  <c r="P215" i="11"/>
  <c r="O214" i="11"/>
  <c r="Q194" i="11"/>
  <c r="T172" i="11"/>
  <c r="P151" i="11"/>
  <c r="S130" i="11"/>
  <c r="L35" i="9" l="1"/>
  <c r="J41" i="10"/>
  <c r="K36" i="9"/>
  <c r="I42" i="10"/>
  <c r="J226" i="2"/>
  <c r="J225" i="2" s="1"/>
  <c r="N225" i="2" s="1"/>
  <c r="U203" i="11"/>
  <c r="D119" i="11"/>
  <c r="U98" i="11"/>
  <c r="U77" i="11"/>
  <c r="U56" i="11"/>
  <c r="R33" i="11"/>
  <c r="Q277" i="11"/>
  <c r="R256" i="11"/>
  <c r="Q215" i="11"/>
  <c r="P214" i="11"/>
  <c r="R194" i="11"/>
  <c r="U172" i="11"/>
  <c r="Q151" i="11"/>
  <c r="T130" i="11"/>
  <c r="L36" i="9" l="1"/>
  <c r="J42" i="10"/>
  <c r="M35" i="9"/>
  <c r="K41" i="10"/>
  <c r="D13" i="11"/>
  <c r="J196" i="2"/>
  <c r="J201" i="2"/>
  <c r="S33" i="11"/>
  <c r="R277" i="11"/>
  <c r="S256" i="11"/>
  <c r="R215" i="11"/>
  <c r="Q214" i="11"/>
  <c r="S194" i="11"/>
  <c r="D172" i="11"/>
  <c r="AD17" i="11" s="1"/>
  <c r="AD26" i="11" s="1"/>
  <c r="R151" i="11"/>
  <c r="U130" i="11"/>
  <c r="N35" i="9" l="1"/>
  <c r="L41" i="10"/>
  <c r="M36" i="9"/>
  <c r="K42" i="10"/>
  <c r="J175" i="2"/>
  <c r="J194" i="2"/>
  <c r="T33" i="11"/>
  <c r="S277" i="11"/>
  <c r="T256" i="11"/>
  <c r="S215" i="11"/>
  <c r="R214" i="11"/>
  <c r="T194" i="11"/>
  <c r="S151" i="11"/>
  <c r="D161" i="11"/>
  <c r="AC47" i="11" s="1"/>
  <c r="D130" i="11"/>
  <c r="AB17" i="11" s="1"/>
  <c r="AB26" i="11" s="1"/>
  <c r="N36" i="9" l="1"/>
  <c r="L42" i="10"/>
  <c r="O35" i="9"/>
  <c r="M41" i="10"/>
  <c r="J157" i="2"/>
  <c r="J173" i="2"/>
  <c r="J172" i="2" s="1"/>
  <c r="N172" i="2" s="1"/>
  <c r="U33" i="11"/>
  <c r="T277" i="11"/>
  <c r="D266" i="11"/>
  <c r="AH47" i="11" s="1"/>
  <c r="U256" i="11"/>
  <c r="D245" i="11"/>
  <c r="AG47" i="11" s="1"/>
  <c r="T215" i="11"/>
  <c r="D224" i="11"/>
  <c r="AF47" i="11" s="1"/>
  <c r="S214" i="11"/>
  <c r="U194" i="11"/>
  <c r="D182" i="11"/>
  <c r="AD47" i="11" s="1"/>
  <c r="T151" i="11"/>
  <c r="P35" i="9" l="1"/>
  <c r="N41" i="10"/>
  <c r="O36" i="9"/>
  <c r="M42" i="10"/>
  <c r="J151" i="2"/>
  <c r="J149" i="2" s="1"/>
  <c r="J155" i="2"/>
  <c r="D33" i="11"/>
  <c r="D287" i="11"/>
  <c r="AI47" i="11" s="1"/>
  <c r="U277" i="11"/>
  <c r="D256" i="11"/>
  <c r="AH17" i="11" s="1"/>
  <c r="AH26" i="11" s="1"/>
  <c r="U215" i="11"/>
  <c r="D215" i="11" s="1"/>
  <c r="T214" i="11"/>
  <c r="D203" i="11"/>
  <c r="AE47" i="11" s="1"/>
  <c r="D194" i="11"/>
  <c r="AE18" i="11" s="1"/>
  <c r="AE27" i="11" s="1"/>
  <c r="U151" i="11"/>
  <c r="J148" i="2" l="1"/>
  <c r="N148" i="2" s="1"/>
  <c r="P36" i="9"/>
  <c r="N42" i="10"/>
  <c r="Q35" i="9"/>
  <c r="P41" i="10" s="1"/>
  <c r="O41" i="10"/>
  <c r="J118" i="2"/>
  <c r="D277" i="11"/>
  <c r="AI17" i="11" s="1"/>
  <c r="AI26" i="11" s="1"/>
  <c r="AF18" i="11"/>
  <c r="AF27" i="11" s="1"/>
  <c r="U214" i="11"/>
  <c r="D204" i="11"/>
  <c r="AE48" i="11" s="1"/>
  <c r="D151" i="11"/>
  <c r="AC17" i="11" s="1"/>
  <c r="AC26" i="11" s="1"/>
  <c r="Q36" i="9" l="1"/>
  <c r="P42" i="10" s="1"/>
  <c r="O42" i="10"/>
  <c r="J116" i="2"/>
  <c r="D214" i="11"/>
  <c r="AF17" i="11" s="1"/>
  <c r="AF26" i="11" s="1"/>
  <c r="J96" i="2" l="1"/>
  <c r="J103" i="2"/>
  <c r="F29" i="4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T86" i="4"/>
  <c r="H98" i="11"/>
  <c r="G95" i="11"/>
  <c r="F95" i="11"/>
  <c r="X98" i="11" s="1"/>
  <c r="G94" i="11"/>
  <c r="F94" i="11"/>
  <c r="E90" i="11"/>
  <c r="G86" i="11"/>
  <c r="F86" i="11"/>
  <c r="AB82" i="11" s="1"/>
  <c r="E86" i="11"/>
  <c r="G85" i="11"/>
  <c r="F85" i="11"/>
  <c r="G84" i="11"/>
  <c r="F84" i="11"/>
  <c r="H82" i="11"/>
  <c r="D56" i="11"/>
  <c r="Y47" i="11" s="1"/>
  <c r="M46" i="11"/>
  <c r="N46" i="11" s="1"/>
  <c r="O46" i="11" s="1"/>
  <c r="P46" i="11" s="1"/>
  <c r="Q46" i="11" s="1"/>
  <c r="R46" i="11" s="1"/>
  <c r="S46" i="11" s="1"/>
  <c r="T46" i="11" s="1"/>
  <c r="U46" i="11" s="1"/>
  <c r="B26" i="4"/>
  <c r="E79" i="11" s="1"/>
  <c r="D29" i="4"/>
  <c r="G121" i="11" s="1"/>
  <c r="C29" i="4"/>
  <c r="F121" i="11" s="1"/>
  <c r="F120" i="11" s="1"/>
  <c r="B29" i="4"/>
  <c r="E121" i="11" s="1"/>
  <c r="E120" i="11" s="1"/>
  <c r="H63" i="4"/>
  <c r="AA74" i="4"/>
  <c r="Z74" i="4"/>
  <c r="AA66" i="4"/>
  <c r="Z66" i="4"/>
  <c r="AA62" i="4"/>
  <c r="Z62" i="4"/>
  <c r="AA58" i="4"/>
  <c r="Z58" i="4"/>
  <c r="AA56" i="4"/>
  <c r="Z56" i="4"/>
  <c r="S54" i="4"/>
  <c r="T56" i="4"/>
  <c r="S56" i="4"/>
  <c r="S73" i="4"/>
  <c r="T73" i="4"/>
  <c r="S67" i="4"/>
  <c r="T67" i="4"/>
  <c r="K69" i="4"/>
  <c r="J69" i="4"/>
  <c r="I69" i="4"/>
  <c r="H69" i="4"/>
  <c r="T66" i="4"/>
  <c r="S66" i="4"/>
  <c r="T74" i="4"/>
  <c r="S74" i="4"/>
  <c r="T58" i="4"/>
  <c r="S58" i="4"/>
  <c r="T62" i="4"/>
  <c r="S62" i="4"/>
  <c r="B5" i="4"/>
  <c r="K58" i="11"/>
  <c r="J4" i="4"/>
  <c r="K4" i="4" s="1"/>
  <c r="L4" i="4" s="1"/>
  <c r="M4" i="4" s="1"/>
  <c r="N4" i="4" s="1"/>
  <c r="O4" i="4" s="1"/>
  <c r="P4" i="4" s="1"/>
  <c r="Q4" i="4" s="1"/>
  <c r="H77" i="11"/>
  <c r="G74" i="11"/>
  <c r="F74" i="11"/>
  <c r="G73" i="11"/>
  <c r="F73" i="11"/>
  <c r="E69" i="11"/>
  <c r="G64" i="11"/>
  <c r="I64" i="11" s="1"/>
  <c r="F64" i="11"/>
  <c r="G63" i="11"/>
  <c r="F63" i="11"/>
  <c r="H61" i="11"/>
  <c r="I58" i="11"/>
  <c r="H58" i="11"/>
  <c r="G58" i="11"/>
  <c r="C58" i="11" s="1"/>
  <c r="Y40" i="11" s="1"/>
  <c r="F58" i="11"/>
  <c r="E58" i="11"/>
  <c r="H56" i="11"/>
  <c r="I48" i="11"/>
  <c r="H48" i="11"/>
  <c r="G48" i="11"/>
  <c r="C48" i="11" s="1"/>
  <c r="Y10" i="11" s="1"/>
  <c r="F48" i="11"/>
  <c r="E48" i="11"/>
  <c r="G44" i="11"/>
  <c r="C44" i="11" s="1"/>
  <c r="F44" i="11"/>
  <c r="E44" i="11"/>
  <c r="G43" i="11"/>
  <c r="F43" i="11"/>
  <c r="E43" i="11"/>
  <c r="G42" i="11"/>
  <c r="F42" i="11"/>
  <c r="E42" i="11"/>
  <c r="H40" i="11"/>
  <c r="G40" i="11"/>
  <c r="F40" i="11"/>
  <c r="E40" i="11"/>
  <c r="Y98" i="11" l="1"/>
  <c r="Z98" i="11" s="1"/>
  <c r="H95" i="11"/>
  <c r="J89" i="2"/>
  <c r="J94" i="2"/>
  <c r="J93" i="2" s="1"/>
  <c r="C74" i="11"/>
  <c r="Z36" i="11" s="1"/>
  <c r="I74" i="11"/>
  <c r="J74" i="11" s="1"/>
  <c r="K74" i="11" s="1"/>
  <c r="L74" i="11" s="1"/>
  <c r="M74" i="11" s="1"/>
  <c r="N74" i="11" s="1"/>
  <c r="O74" i="11" s="1"/>
  <c r="P74" i="11" s="1"/>
  <c r="Q74" i="11" s="1"/>
  <c r="R74" i="11" s="1"/>
  <c r="S74" i="11" s="1"/>
  <c r="T74" i="11" s="1"/>
  <c r="U74" i="11" s="1"/>
  <c r="D74" i="11" s="1"/>
  <c r="Z45" i="11" s="1"/>
  <c r="G120" i="11"/>
  <c r="I120" i="11" s="1"/>
  <c r="J120" i="11" s="1"/>
  <c r="K120" i="11" s="1"/>
  <c r="L120" i="11" s="1"/>
  <c r="M120" i="11" s="1"/>
  <c r="N120" i="11" s="1"/>
  <c r="O120" i="11" s="1"/>
  <c r="P120" i="11" s="1"/>
  <c r="Q120" i="11" s="1"/>
  <c r="R120" i="11" s="1"/>
  <c r="S120" i="11" s="1"/>
  <c r="T120" i="11" s="1"/>
  <c r="U120" i="11" s="1"/>
  <c r="C121" i="11"/>
  <c r="D46" i="11"/>
  <c r="Y17" i="11" s="1"/>
  <c r="Y26" i="11" s="1"/>
  <c r="I85" i="11"/>
  <c r="J85" i="11" s="1"/>
  <c r="K85" i="11" s="1"/>
  <c r="L85" i="11" s="1"/>
  <c r="M85" i="11" s="1"/>
  <c r="N85" i="11" s="1"/>
  <c r="O85" i="11" s="1"/>
  <c r="P85" i="11" s="1"/>
  <c r="Q85" i="11" s="1"/>
  <c r="R85" i="11" s="1"/>
  <c r="S85" i="11" s="1"/>
  <c r="T85" i="11" s="1"/>
  <c r="U85" i="11" s="1"/>
  <c r="D85" i="11" s="1"/>
  <c r="AA15" i="11" s="1"/>
  <c r="AA24" i="11" s="1"/>
  <c r="G191" i="11"/>
  <c r="F191" i="11"/>
  <c r="E191" i="11"/>
  <c r="E192" i="11" s="1"/>
  <c r="E193" i="11" s="1"/>
  <c r="C107" i="11"/>
  <c r="F149" i="11"/>
  <c r="G149" i="11"/>
  <c r="C149" i="11" s="1"/>
  <c r="E149" i="11"/>
  <c r="C53" i="11"/>
  <c r="Y36" i="11" s="1"/>
  <c r="C42" i="11"/>
  <c r="Y5" i="11" s="1"/>
  <c r="C43" i="11"/>
  <c r="Y6" i="11" s="1"/>
  <c r="C86" i="11"/>
  <c r="AC82" i="11"/>
  <c r="C63" i="11"/>
  <c r="Z5" i="11" s="1"/>
  <c r="C64" i="11"/>
  <c r="Z6" i="11" s="1"/>
  <c r="J58" i="11"/>
  <c r="L58" i="11"/>
  <c r="D28" i="4"/>
  <c r="F47" i="11"/>
  <c r="F57" i="11"/>
  <c r="E57" i="11"/>
  <c r="G57" i="11"/>
  <c r="I57" i="11" s="1"/>
  <c r="E47" i="11"/>
  <c r="J64" i="11"/>
  <c r="K64" i="11" s="1"/>
  <c r="L64" i="11" s="1"/>
  <c r="M64" i="11" s="1"/>
  <c r="N64" i="11" s="1"/>
  <c r="O64" i="11" s="1"/>
  <c r="P64" i="11" s="1"/>
  <c r="Q64" i="11" s="1"/>
  <c r="R64" i="11" s="1"/>
  <c r="S64" i="11" s="1"/>
  <c r="T64" i="11" s="1"/>
  <c r="U64" i="11" s="1"/>
  <c r="D64" i="11" s="1"/>
  <c r="Z15" i="11" s="1"/>
  <c r="Z24" i="11" s="1"/>
  <c r="G47" i="11"/>
  <c r="F62" i="11"/>
  <c r="F93" i="11"/>
  <c r="F97" i="11" s="1"/>
  <c r="G93" i="11"/>
  <c r="I86" i="11"/>
  <c r="J86" i="11" s="1"/>
  <c r="K86" i="11" s="1"/>
  <c r="L86" i="11" s="1"/>
  <c r="M86" i="11" s="1"/>
  <c r="N86" i="11" s="1"/>
  <c r="O86" i="11" s="1"/>
  <c r="P86" i="11" s="1"/>
  <c r="Q86" i="11" s="1"/>
  <c r="R86" i="11" s="1"/>
  <c r="S86" i="11" s="1"/>
  <c r="T86" i="11" s="1"/>
  <c r="U86" i="11" s="1"/>
  <c r="D86" i="11" s="1"/>
  <c r="C85" i="11"/>
  <c r="AA6" i="11" s="1"/>
  <c r="C94" i="11"/>
  <c r="AA35" i="11" s="1"/>
  <c r="C95" i="11"/>
  <c r="AA36" i="11" s="1"/>
  <c r="C84" i="11"/>
  <c r="AA5" i="11" s="1"/>
  <c r="F83" i="11"/>
  <c r="G83" i="11"/>
  <c r="G72" i="11"/>
  <c r="E41" i="11"/>
  <c r="E45" i="11" s="1"/>
  <c r="E46" i="11" s="1"/>
  <c r="G62" i="11"/>
  <c r="F72" i="11"/>
  <c r="F76" i="11" s="1"/>
  <c r="C73" i="11"/>
  <c r="Z35" i="11" s="1"/>
  <c r="F41" i="11"/>
  <c r="G41" i="11"/>
  <c r="I43" i="11"/>
  <c r="I44" i="11"/>
  <c r="J44" i="11" s="1"/>
  <c r="K44" i="11" s="1"/>
  <c r="L44" i="11" s="1"/>
  <c r="M44" i="11" s="1"/>
  <c r="N44" i="11" s="1"/>
  <c r="O44" i="11" s="1"/>
  <c r="P44" i="11" s="1"/>
  <c r="Q44" i="11" s="1"/>
  <c r="R44" i="11" s="1"/>
  <c r="S44" i="11" s="1"/>
  <c r="T44" i="11" s="1"/>
  <c r="U44" i="11" s="1"/>
  <c r="D44" i="11" s="1"/>
  <c r="C40" i="11"/>
  <c r="Y3" i="11" s="1"/>
  <c r="C52" i="11"/>
  <c r="Y35" i="11" s="1"/>
  <c r="I95" i="11" l="1"/>
  <c r="AA98" i="11"/>
  <c r="AS116" i="2"/>
  <c r="AS117" i="2" s="1"/>
  <c r="N93" i="2"/>
  <c r="M57" i="11"/>
  <c r="N57" i="11" s="1"/>
  <c r="O57" i="11" s="1"/>
  <c r="P57" i="11" s="1"/>
  <c r="Q57" i="11" s="1"/>
  <c r="R57" i="11" s="1"/>
  <c r="S57" i="11" s="1"/>
  <c r="T57" i="11" s="1"/>
  <c r="U57" i="11" s="1"/>
  <c r="J57" i="11"/>
  <c r="K57" i="11" s="1"/>
  <c r="K52" i="11" s="1"/>
  <c r="K51" i="11" s="1"/>
  <c r="K50" i="11" s="1"/>
  <c r="K55" i="11" s="1"/>
  <c r="J77" i="2"/>
  <c r="J87" i="2"/>
  <c r="AP116" i="2" s="1"/>
  <c r="AP117" i="2" s="1"/>
  <c r="J25" i="4"/>
  <c r="I52" i="11"/>
  <c r="I51" i="11" s="1"/>
  <c r="I50" i="11" s="1"/>
  <c r="I55" i="11" s="1"/>
  <c r="L52" i="11"/>
  <c r="L51" i="11" s="1"/>
  <c r="L50" i="11" s="1"/>
  <c r="L55" i="11" s="1"/>
  <c r="C57" i="11"/>
  <c r="Y39" i="11" s="1"/>
  <c r="C47" i="11"/>
  <c r="Y9" i="11" s="1"/>
  <c r="I47" i="11"/>
  <c r="C72" i="11"/>
  <c r="Z34" i="11" s="1"/>
  <c r="G76" i="11"/>
  <c r="C93" i="11"/>
  <c r="AA34" i="11" s="1"/>
  <c r="G97" i="11"/>
  <c r="I107" i="11"/>
  <c r="I14" i="11" s="1"/>
  <c r="I191" i="11"/>
  <c r="J191" i="11" s="1"/>
  <c r="K191" i="11" s="1"/>
  <c r="L191" i="11" s="1"/>
  <c r="M191" i="11" s="1"/>
  <c r="N191" i="11" s="1"/>
  <c r="O191" i="11" s="1"/>
  <c r="P191" i="11" s="1"/>
  <c r="Q191" i="11" s="1"/>
  <c r="R191" i="11" s="1"/>
  <c r="S191" i="11" s="1"/>
  <c r="T191" i="11" s="1"/>
  <c r="U191" i="11" s="1"/>
  <c r="D191" i="11" s="1"/>
  <c r="F192" i="11"/>
  <c r="F193" i="11" s="1"/>
  <c r="C191" i="11"/>
  <c r="G192" i="11"/>
  <c r="I149" i="11"/>
  <c r="J149" i="11" s="1"/>
  <c r="K149" i="11" s="1"/>
  <c r="L149" i="11" s="1"/>
  <c r="M149" i="11" s="1"/>
  <c r="N149" i="11" s="1"/>
  <c r="O149" i="11" s="1"/>
  <c r="P149" i="11" s="1"/>
  <c r="Q149" i="11" s="1"/>
  <c r="R149" i="11" s="1"/>
  <c r="S149" i="11" s="1"/>
  <c r="T149" i="11" s="1"/>
  <c r="U149" i="11" s="1"/>
  <c r="D149" i="11" s="1"/>
  <c r="F45" i="11"/>
  <c r="F46" i="11" s="1"/>
  <c r="J43" i="11"/>
  <c r="K43" i="11" s="1"/>
  <c r="C51" i="11"/>
  <c r="Y34" i="11" s="1"/>
  <c r="C41" i="11"/>
  <c r="Y4" i="11" s="1"/>
  <c r="C62" i="11"/>
  <c r="Z4" i="11" s="1"/>
  <c r="G100" i="11"/>
  <c r="C83" i="11"/>
  <c r="AA4" i="11" s="1"/>
  <c r="M58" i="11"/>
  <c r="G45" i="11"/>
  <c r="AB98" i="11" l="1"/>
  <c r="J95" i="11"/>
  <c r="J52" i="11"/>
  <c r="J51" i="11" s="1"/>
  <c r="J50" i="11" s="1"/>
  <c r="J55" i="11" s="1"/>
  <c r="M52" i="11"/>
  <c r="M51" i="11" s="1"/>
  <c r="M50" i="11" s="1"/>
  <c r="M55" i="11" s="1"/>
  <c r="J45" i="2"/>
  <c r="J75" i="2"/>
  <c r="J74" i="2" s="1"/>
  <c r="N74" i="2" s="1"/>
  <c r="G99" i="11"/>
  <c r="C100" i="11"/>
  <c r="AA40" i="11" s="1"/>
  <c r="G46" i="11"/>
  <c r="C46" i="11" s="1"/>
  <c r="Y8" i="11" s="1"/>
  <c r="C45" i="11"/>
  <c r="Y7" i="11" s="1"/>
  <c r="J107" i="11"/>
  <c r="J14" i="11" s="1"/>
  <c r="G193" i="11"/>
  <c r="C192" i="11"/>
  <c r="AE7" i="11" s="1"/>
  <c r="N58" i="11"/>
  <c r="N52" i="11" s="1"/>
  <c r="N51" i="11" s="1"/>
  <c r="N50" i="11" s="1"/>
  <c r="N55" i="11" s="1"/>
  <c r="K25" i="4"/>
  <c r="I42" i="11"/>
  <c r="J47" i="11"/>
  <c r="L43" i="11"/>
  <c r="AC98" i="11" l="1"/>
  <c r="L95" i="11" s="1"/>
  <c r="M95" i="11" s="1"/>
  <c r="N95" i="11" s="1"/>
  <c r="O95" i="11" s="1"/>
  <c r="P95" i="11" s="1"/>
  <c r="Q95" i="11" s="1"/>
  <c r="K95" i="11"/>
  <c r="J30" i="2"/>
  <c r="J43" i="2"/>
  <c r="C99" i="11"/>
  <c r="AA39" i="11" s="1"/>
  <c r="I99" i="11"/>
  <c r="J99" i="11" s="1"/>
  <c r="K99" i="11" s="1"/>
  <c r="L99" i="11" s="1"/>
  <c r="M99" i="11" s="1"/>
  <c r="N99" i="11" s="1"/>
  <c r="O99" i="11" s="1"/>
  <c r="P99" i="11" s="1"/>
  <c r="Q99" i="11" s="1"/>
  <c r="R99" i="11" s="1"/>
  <c r="S99" i="11" s="1"/>
  <c r="T99" i="11" s="1"/>
  <c r="U99" i="11" s="1"/>
  <c r="D99" i="11" s="1"/>
  <c r="AA48" i="11" s="1"/>
  <c r="F99" i="11"/>
  <c r="F100" i="11" s="1"/>
  <c r="C28" i="4" s="1"/>
  <c r="K107" i="11"/>
  <c r="K14" i="11" s="1"/>
  <c r="I193" i="11"/>
  <c r="J193" i="11" s="1"/>
  <c r="K193" i="11" s="1"/>
  <c r="L193" i="11" s="1"/>
  <c r="M193" i="11" s="1"/>
  <c r="N193" i="11" s="1"/>
  <c r="O193" i="11" s="1"/>
  <c r="P193" i="11" s="1"/>
  <c r="Q193" i="11" s="1"/>
  <c r="R193" i="11" s="1"/>
  <c r="S193" i="11" s="1"/>
  <c r="T193" i="11" s="1"/>
  <c r="U193" i="11" s="1"/>
  <c r="D193" i="11" s="1"/>
  <c r="AE17" i="11" s="1"/>
  <c r="C193" i="11"/>
  <c r="AE8" i="11" s="1"/>
  <c r="L25" i="4"/>
  <c r="O58" i="11"/>
  <c r="O52" i="11" s="1"/>
  <c r="O51" i="11" s="1"/>
  <c r="O50" i="11" s="1"/>
  <c r="O55" i="11" s="1"/>
  <c r="I41" i="11"/>
  <c r="M43" i="11"/>
  <c r="J16" i="2" l="1"/>
  <c r="J28" i="2"/>
  <c r="L107" i="11"/>
  <c r="L14" i="11" s="1"/>
  <c r="P58" i="11"/>
  <c r="P52" i="11" s="1"/>
  <c r="P51" i="11" s="1"/>
  <c r="P50" i="11" s="1"/>
  <c r="P55" i="11" s="1"/>
  <c r="M25" i="4"/>
  <c r="I40" i="11"/>
  <c r="I45" i="11" s="1"/>
  <c r="N43" i="11"/>
  <c r="J14" i="2" l="1"/>
  <c r="J13" i="2" s="1"/>
  <c r="N13" i="2" s="1"/>
  <c r="AP43" i="2"/>
  <c r="AP44" i="2" s="1"/>
  <c r="M107" i="11"/>
  <c r="M14" i="11" s="1"/>
  <c r="N25" i="4"/>
  <c r="Q58" i="11"/>
  <c r="Q52" i="11" s="1"/>
  <c r="Q51" i="11" s="1"/>
  <c r="Q50" i="11" s="1"/>
  <c r="Q55" i="11" s="1"/>
  <c r="M47" i="11"/>
  <c r="O43" i="11"/>
  <c r="N107" i="11" l="1"/>
  <c r="N14" i="11" s="1"/>
  <c r="R58" i="11"/>
  <c r="R52" i="11" s="1"/>
  <c r="R51" i="11" s="1"/>
  <c r="R50" i="11" s="1"/>
  <c r="R55" i="11" s="1"/>
  <c r="O25" i="4"/>
  <c r="N47" i="11"/>
  <c r="P43" i="11"/>
  <c r="O107" i="11" l="1"/>
  <c r="O14" i="11" s="1"/>
  <c r="S58" i="11"/>
  <c r="S52" i="11" s="1"/>
  <c r="S51" i="11" s="1"/>
  <c r="S50" i="11" s="1"/>
  <c r="S55" i="11" s="1"/>
  <c r="P25" i="4"/>
  <c r="Q43" i="11"/>
  <c r="O47" i="11"/>
  <c r="R95" i="11" l="1"/>
  <c r="P107" i="11"/>
  <c r="P14" i="11" s="1"/>
  <c r="T58" i="11"/>
  <c r="T52" i="11" s="1"/>
  <c r="T51" i="11" s="1"/>
  <c r="T50" i="11" s="1"/>
  <c r="T55" i="11" s="1"/>
  <c r="Q25" i="4"/>
  <c r="P47" i="11"/>
  <c r="R43" i="11"/>
  <c r="S95" i="11" l="1"/>
  <c r="Q107" i="11"/>
  <c r="Q14" i="11" s="1"/>
  <c r="U58" i="11"/>
  <c r="S43" i="11"/>
  <c r="Q47" i="11"/>
  <c r="T95" i="11" l="1"/>
  <c r="D58" i="11"/>
  <c r="Y49" i="11" s="1"/>
  <c r="U52" i="11"/>
  <c r="U51" i="11" s="1"/>
  <c r="U50" i="11" s="1"/>
  <c r="U55" i="11" s="1"/>
  <c r="R107" i="11"/>
  <c r="R14" i="11" s="1"/>
  <c r="T43" i="11"/>
  <c r="R47" i="11"/>
  <c r="U95" i="11" l="1"/>
  <c r="S107" i="11"/>
  <c r="S14" i="11" s="1"/>
  <c r="S47" i="11"/>
  <c r="U43" i="11"/>
  <c r="D95" i="11" l="1"/>
  <c r="AA45" i="11" s="1"/>
  <c r="T107" i="11"/>
  <c r="T14" i="11" s="1"/>
  <c r="D43" i="11"/>
  <c r="Y15" i="11" s="1"/>
  <c r="Y24" i="11" s="1"/>
  <c r="D53" i="11"/>
  <c r="Y45" i="11" s="1"/>
  <c r="T47" i="11"/>
  <c r="U107" i="11" l="1"/>
  <c r="U14" i="11" s="1"/>
  <c r="D57" i="11"/>
  <c r="Y48" i="11" s="1"/>
  <c r="U47" i="11"/>
  <c r="D107" i="11" l="1"/>
  <c r="D14" i="11"/>
  <c r="D52" i="11"/>
  <c r="Y44" i="11" s="1"/>
  <c r="D47" i="11"/>
  <c r="Y18" i="11" s="1"/>
  <c r="Y27" i="11" s="1"/>
  <c r="D51" i="11" l="1"/>
  <c r="Y43" i="11" s="1"/>
  <c r="D55" i="11"/>
  <c r="Y46" i="11" s="1"/>
  <c r="F32" i="11" l="1"/>
  <c r="F12" i="11" s="1"/>
  <c r="G32" i="11"/>
  <c r="G12" i="11" s="1"/>
  <c r="C12" i="11" s="1"/>
  <c r="E32" i="11"/>
  <c r="E12" i="11" s="1"/>
  <c r="F31" i="11"/>
  <c r="F11" i="11" s="1"/>
  <c r="G31" i="11"/>
  <c r="G11" i="11" s="1"/>
  <c r="C11" i="11" s="1"/>
  <c r="E31" i="11"/>
  <c r="E11" i="11" s="1"/>
  <c r="F23" i="11"/>
  <c r="G23" i="11"/>
  <c r="E23" i="11"/>
  <c r="H19" i="11"/>
  <c r="H3" i="11" s="1"/>
  <c r="Q40" i="13"/>
  <c r="P40" i="13"/>
  <c r="O40" i="13"/>
  <c r="F22" i="11"/>
  <c r="G22" i="11"/>
  <c r="E22" i="11"/>
  <c r="F21" i="11"/>
  <c r="F5" i="11" s="1"/>
  <c r="G21" i="11"/>
  <c r="E21" i="11"/>
  <c r="E5" i="11" s="1"/>
  <c r="E19" i="11"/>
  <c r="D50" i="11" l="1"/>
  <c r="Y42" i="11" s="1"/>
  <c r="X82" i="11"/>
  <c r="X79" i="11" s="1"/>
  <c r="Y82" i="11"/>
  <c r="Y79" i="11" s="1"/>
  <c r="Y80" i="11" s="1"/>
  <c r="E6" i="11"/>
  <c r="G6" i="11"/>
  <c r="C6" i="11" s="1"/>
  <c r="F6" i="11"/>
  <c r="AD77" i="11"/>
  <c r="AD78" i="11"/>
  <c r="I32" i="11"/>
  <c r="I12" i="11" s="1"/>
  <c r="F30" i="11"/>
  <c r="G30" i="11"/>
  <c r="I23" i="11"/>
  <c r="E30" i="11"/>
  <c r="I22" i="11"/>
  <c r="I6" i="11" s="1"/>
  <c r="E10" i="11" l="1"/>
  <c r="E34" i="11"/>
  <c r="G10" i="11"/>
  <c r="C64" i="10" s="1"/>
  <c r="C67" i="10" s="1"/>
  <c r="C66" i="10" s="1"/>
  <c r="G34" i="11"/>
  <c r="F10" i="11"/>
  <c r="F34" i="11"/>
  <c r="R86" i="4"/>
  <c r="E75" i="4"/>
  <c r="K74" i="4"/>
  <c r="J74" i="4"/>
  <c r="I74" i="4"/>
  <c r="H74" i="4"/>
  <c r="F74" i="4"/>
  <c r="D74" i="4"/>
  <c r="G74" i="4" s="1"/>
  <c r="G73" i="4"/>
  <c r="F73" i="4"/>
  <c r="D73" i="4"/>
  <c r="T72" i="4"/>
  <c r="S72" i="4"/>
  <c r="K72" i="4"/>
  <c r="J72" i="4"/>
  <c r="G72" i="4"/>
  <c r="I72" i="4" s="1"/>
  <c r="F72" i="4"/>
  <c r="D72" i="4"/>
  <c r="K71" i="4"/>
  <c r="J71" i="4"/>
  <c r="I71" i="4"/>
  <c r="H71" i="4"/>
  <c r="G71" i="4"/>
  <c r="F71" i="4"/>
  <c r="D71" i="4"/>
  <c r="G70" i="4"/>
  <c r="F70" i="4"/>
  <c r="T69" i="4"/>
  <c r="S69" i="4"/>
  <c r="G69" i="4"/>
  <c r="F69" i="4"/>
  <c r="D69" i="4"/>
  <c r="G68" i="4"/>
  <c r="F68" i="4"/>
  <c r="I67" i="4"/>
  <c r="H67" i="4"/>
  <c r="K67" i="4"/>
  <c r="J67" i="4"/>
  <c r="G67" i="4"/>
  <c r="F67" i="4"/>
  <c r="D67" i="4"/>
  <c r="K66" i="4"/>
  <c r="J66" i="4"/>
  <c r="I66" i="4"/>
  <c r="H66" i="4"/>
  <c r="F66" i="4"/>
  <c r="D66" i="4"/>
  <c r="G66" i="4" s="1"/>
  <c r="G65" i="4"/>
  <c r="F65" i="4"/>
  <c r="T64" i="4"/>
  <c r="S64" i="4"/>
  <c r="G64" i="4"/>
  <c r="F64" i="4"/>
  <c r="D64" i="4"/>
  <c r="K62" i="4"/>
  <c r="U85" i="4" s="1"/>
  <c r="J62" i="4"/>
  <c r="T85" i="4" s="1"/>
  <c r="I62" i="4"/>
  <c r="S85" i="4" s="1"/>
  <c r="H62" i="4"/>
  <c r="R85" i="4" s="1"/>
  <c r="F62" i="4"/>
  <c r="D62" i="4"/>
  <c r="G62" i="4" s="1"/>
  <c r="T61" i="4"/>
  <c r="S61" i="4"/>
  <c r="H61" i="4" s="1"/>
  <c r="I61" i="4" s="1"/>
  <c r="G61" i="4"/>
  <c r="F61" i="4"/>
  <c r="D61" i="4"/>
  <c r="T60" i="4"/>
  <c r="S60" i="4"/>
  <c r="D7" i="4" s="1"/>
  <c r="K60" i="4"/>
  <c r="J60" i="4"/>
  <c r="G60" i="4"/>
  <c r="I60" i="4" s="1"/>
  <c r="F60" i="4"/>
  <c r="D60" i="4"/>
  <c r="G59" i="4"/>
  <c r="F59" i="4"/>
  <c r="K58" i="4"/>
  <c r="J58" i="4"/>
  <c r="I58" i="4"/>
  <c r="H58" i="4"/>
  <c r="F58" i="4"/>
  <c r="D58" i="4"/>
  <c r="G58" i="4" s="1"/>
  <c r="E57" i="4"/>
  <c r="K56" i="4"/>
  <c r="J56" i="4"/>
  <c r="I56" i="4"/>
  <c r="H56" i="4"/>
  <c r="F56" i="4"/>
  <c r="D56" i="4"/>
  <c r="G56" i="4" s="1"/>
  <c r="K55" i="4"/>
  <c r="J55" i="4"/>
  <c r="I55" i="4"/>
  <c r="H55" i="4"/>
  <c r="G55" i="4"/>
  <c r="F55" i="4"/>
  <c r="D55" i="4"/>
  <c r="T54" i="4"/>
  <c r="I54" i="4" s="1"/>
  <c r="H54" i="4"/>
  <c r="K54" i="4"/>
  <c r="J54" i="4"/>
  <c r="G54" i="4"/>
  <c r="F54" i="4"/>
  <c r="D54" i="4"/>
  <c r="K52" i="4"/>
  <c r="J52" i="4"/>
  <c r="I52" i="4"/>
  <c r="H52" i="4"/>
  <c r="G52" i="4"/>
  <c r="F52" i="4"/>
  <c r="D52" i="4"/>
  <c r="G15" i="11" l="1"/>
  <c r="G16" i="11" s="1"/>
  <c r="E15" i="11"/>
  <c r="E16" i="11" s="1"/>
  <c r="C10" i="11"/>
  <c r="G90" i="11"/>
  <c r="C90" i="11" s="1"/>
  <c r="AA10" i="11" s="1"/>
  <c r="G57" i="4"/>
  <c r="S75" i="4"/>
  <c r="T75" i="4"/>
  <c r="S57" i="4"/>
  <c r="T57" i="4"/>
  <c r="E8" i="4"/>
  <c r="R102" i="4"/>
  <c r="J48" i="11"/>
  <c r="J42" i="11" s="1"/>
  <c r="E86" i="4"/>
  <c r="G20" i="11"/>
  <c r="F20" i="11"/>
  <c r="E20" i="11"/>
  <c r="E4" i="11" s="1"/>
  <c r="E85" i="4"/>
  <c r="I57" i="4"/>
  <c r="E93" i="4"/>
  <c r="R94" i="4" s="1"/>
  <c r="E12" i="4" s="1"/>
  <c r="G83" i="4"/>
  <c r="H60" i="4"/>
  <c r="E87" i="4" s="1"/>
  <c r="R87" i="4" s="1"/>
  <c r="D86" i="4"/>
  <c r="L57" i="4"/>
  <c r="G95" i="4"/>
  <c r="T97" i="4" s="1"/>
  <c r="H72" i="4"/>
  <c r="E98" i="4" s="1"/>
  <c r="K87" i="4"/>
  <c r="U87" i="4" s="1"/>
  <c r="M57" i="4"/>
  <c r="K95" i="4"/>
  <c r="U97" i="4" s="1"/>
  <c r="I89" i="4"/>
  <c r="S89" i="4" s="1"/>
  <c r="D94" i="4"/>
  <c r="K75" i="4"/>
  <c r="I81" i="4"/>
  <c r="S81" i="4" s="1"/>
  <c r="E100" i="4"/>
  <c r="R99" i="4" s="1"/>
  <c r="E17" i="4" s="1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Q17" i="4" s="1"/>
  <c r="J57" i="4"/>
  <c r="L75" i="4"/>
  <c r="I97" i="4"/>
  <c r="K57" i="4"/>
  <c r="G99" i="4"/>
  <c r="O57" i="4"/>
  <c r="H64" i="4"/>
  <c r="E90" i="4" s="1"/>
  <c r="R90" i="4" s="1"/>
  <c r="E9" i="4" s="1"/>
  <c r="D9" i="4" s="1"/>
  <c r="C9" i="4" s="1"/>
  <c r="B9" i="4" s="1"/>
  <c r="M75" i="4"/>
  <c r="I82" i="4"/>
  <c r="G84" i="4"/>
  <c r="D87" i="4"/>
  <c r="K88" i="4"/>
  <c r="U88" i="4" s="1"/>
  <c r="G92" i="4"/>
  <c r="T93" i="4" s="1"/>
  <c r="E94" i="4"/>
  <c r="R95" i="4" s="1"/>
  <c r="D95" i="4"/>
  <c r="K96" i="4"/>
  <c r="U98" i="4" s="1"/>
  <c r="I98" i="4"/>
  <c r="G100" i="4"/>
  <c r="T99" i="4" s="1"/>
  <c r="I64" i="4"/>
  <c r="K64" i="4" s="1"/>
  <c r="K90" i="4" s="1"/>
  <c r="U90" i="4" s="1"/>
  <c r="O75" i="4"/>
  <c r="K81" i="4"/>
  <c r="U81" i="4" s="1"/>
  <c r="I83" i="4"/>
  <c r="G85" i="4"/>
  <c r="D88" i="4"/>
  <c r="K89" i="4"/>
  <c r="U89" i="4" s="1"/>
  <c r="G93" i="4"/>
  <c r="T94" i="4" s="1"/>
  <c r="D96" i="4"/>
  <c r="K97" i="4"/>
  <c r="I99" i="4"/>
  <c r="H57" i="4"/>
  <c r="H73" i="4"/>
  <c r="G75" i="4"/>
  <c r="D81" i="4"/>
  <c r="K82" i="4"/>
  <c r="I84" i="4"/>
  <c r="G86" i="4"/>
  <c r="E88" i="4"/>
  <c r="D89" i="4"/>
  <c r="I92" i="4"/>
  <c r="S93" i="4" s="1"/>
  <c r="E32" i="4" s="1"/>
  <c r="G94" i="4"/>
  <c r="T95" i="4" s="1"/>
  <c r="E96" i="4"/>
  <c r="R98" i="4" s="1"/>
  <c r="E16" i="4" s="1"/>
  <c r="D97" i="4"/>
  <c r="K98" i="4"/>
  <c r="I100" i="4"/>
  <c r="S99" i="4" s="1"/>
  <c r="E38" i="4" s="1"/>
  <c r="H75" i="4"/>
  <c r="E81" i="4"/>
  <c r="R81" i="4" s="1"/>
  <c r="D82" i="4"/>
  <c r="K83" i="4"/>
  <c r="I85" i="4"/>
  <c r="G87" i="4"/>
  <c r="T87" i="4" s="1"/>
  <c r="E89" i="4"/>
  <c r="R89" i="4" s="1"/>
  <c r="D90" i="4"/>
  <c r="I93" i="4"/>
  <c r="S94" i="4" s="1"/>
  <c r="E33" i="4" s="1"/>
  <c r="E97" i="4"/>
  <c r="D98" i="4"/>
  <c r="K99" i="4"/>
  <c r="I75" i="4"/>
  <c r="E82" i="4"/>
  <c r="D83" i="4"/>
  <c r="K84" i="4"/>
  <c r="I86" i="4"/>
  <c r="G88" i="4"/>
  <c r="T88" i="4" s="1"/>
  <c r="D91" i="4"/>
  <c r="K92" i="4"/>
  <c r="U93" i="4" s="1"/>
  <c r="I94" i="4"/>
  <c r="S95" i="4" s="1"/>
  <c r="E34" i="4" s="1"/>
  <c r="G96" i="4"/>
  <c r="T98" i="4" s="1"/>
  <c r="D99" i="4"/>
  <c r="K100" i="4"/>
  <c r="U99" i="4" s="1"/>
  <c r="J75" i="4"/>
  <c r="G81" i="4"/>
  <c r="T81" i="4" s="1"/>
  <c r="E83" i="4"/>
  <c r="D84" i="4"/>
  <c r="K85" i="4"/>
  <c r="I87" i="4"/>
  <c r="S87" i="4" s="1"/>
  <c r="G89" i="4"/>
  <c r="T89" i="4" s="1"/>
  <c r="D92" i="4"/>
  <c r="K93" i="4"/>
  <c r="U94" i="4" s="1"/>
  <c r="G97" i="4"/>
  <c r="E99" i="4"/>
  <c r="D100" i="4"/>
  <c r="G82" i="4"/>
  <c r="E84" i="4"/>
  <c r="D85" i="4"/>
  <c r="K86" i="4"/>
  <c r="I88" i="4"/>
  <c r="S88" i="4" s="1"/>
  <c r="E92" i="4"/>
  <c r="R93" i="4" s="1"/>
  <c r="E11" i="4" s="1"/>
  <c r="D93" i="4"/>
  <c r="K94" i="4"/>
  <c r="U95" i="4" s="1"/>
  <c r="I96" i="4"/>
  <c r="S98" i="4" s="1"/>
  <c r="E37" i="4" s="1"/>
  <c r="G98" i="4"/>
  <c r="T82" i="4" l="1"/>
  <c r="D11" i="4"/>
  <c r="C11" i="4"/>
  <c r="F174" i="11" s="1"/>
  <c r="F173" i="11" s="1"/>
  <c r="B11" i="4"/>
  <c r="E174" i="11" s="1"/>
  <c r="E173" i="11" s="1"/>
  <c r="D16" i="4"/>
  <c r="G279" i="11" s="1"/>
  <c r="B16" i="4"/>
  <c r="C16" i="4"/>
  <c r="F279" i="11" s="1"/>
  <c r="F278" i="11" s="1"/>
  <c r="AD76" i="11"/>
  <c r="F4" i="11"/>
  <c r="J41" i="11"/>
  <c r="F37" i="4"/>
  <c r="J289" i="11" s="1"/>
  <c r="H289" i="11"/>
  <c r="I289" i="11"/>
  <c r="I279" i="11"/>
  <c r="H279" i="11"/>
  <c r="G89" i="11"/>
  <c r="AC83" i="11"/>
  <c r="AC81" i="11" s="1"/>
  <c r="F34" i="4"/>
  <c r="J226" i="11" s="1"/>
  <c r="H226" i="11"/>
  <c r="I226" i="11"/>
  <c r="F12" i="4"/>
  <c r="I195" i="11"/>
  <c r="I189" i="11" s="1"/>
  <c r="I188" i="11" s="1"/>
  <c r="I187" i="11" s="1"/>
  <c r="I192" i="11" s="1"/>
  <c r="H195" i="11"/>
  <c r="I174" i="11"/>
  <c r="H174" i="11"/>
  <c r="I132" i="11"/>
  <c r="H132" i="11"/>
  <c r="H205" i="11"/>
  <c r="I205" i="11"/>
  <c r="I199" i="11" s="1"/>
  <c r="I198" i="11" s="1"/>
  <c r="I197" i="11" s="1"/>
  <c r="I202" i="11" s="1"/>
  <c r="F32" i="4"/>
  <c r="J184" i="11" s="1"/>
  <c r="I184" i="11"/>
  <c r="H184" i="11"/>
  <c r="D6" i="4"/>
  <c r="D5" i="4" s="1"/>
  <c r="G69" i="11" s="1"/>
  <c r="C69" i="11" s="1"/>
  <c r="Z10" i="11" s="1"/>
  <c r="U82" i="4"/>
  <c r="T96" i="4"/>
  <c r="F33" i="4"/>
  <c r="U84" i="4"/>
  <c r="F38" i="4"/>
  <c r="G38" i="4" s="1"/>
  <c r="H38" i="4" s="1"/>
  <c r="I38" i="4" s="1"/>
  <c r="J38" i="4" s="1"/>
  <c r="K38" i="4" s="1"/>
  <c r="L38" i="4" s="1"/>
  <c r="M38" i="4" s="1"/>
  <c r="N38" i="4" s="1"/>
  <c r="O38" i="4" s="1"/>
  <c r="P38" i="4" s="1"/>
  <c r="Q38" i="4" s="1"/>
  <c r="U96" i="4"/>
  <c r="T84" i="4"/>
  <c r="D27" i="4"/>
  <c r="D26" i="4" s="1"/>
  <c r="D37" i="4"/>
  <c r="G289" i="11" s="1"/>
  <c r="C37" i="4"/>
  <c r="B37" i="4"/>
  <c r="D32" i="4"/>
  <c r="G184" i="11" s="1"/>
  <c r="C184" i="11" s="1"/>
  <c r="AD40" i="11" s="1"/>
  <c r="C32" i="4"/>
  <c r="F184" i="11" s="1"/>
  <c r="B32" i="4"/>
  <c r="E184" i="11" s="1"/>
  <c r="J73" i="4"/>
  <c r="G91" i="4" s="1"/>
  <c r="T92" i="4" s="1"/>
  <c r="I73" i="4"/>
  <c r="K73" i="4" s="1"/>
  <c r="K91" i="4" s="1"/>
  <c r="L91" i="4" s="1"/>
  <c r="C34" i="4"/>
  <c r="F226" i="11" s="1"/>
  <c r="F225" i="11" s="1"/>
  <c r="D34" i="4"/>
  <c r="G226" i="11" s="1"/>
  <c r="B34" i="4"/>
  <c r="E226" i="11" s="1"/>
  <c r="E225" i="11" s="1"/>
  <c r="F9" i="4"/>
  <c r="E132" i="11"/>
  <c r="G132" i="11"/>
  <c r="F132" i="11"/>
  <c r="F131" i="11" s="1"/>
  <c r="F11" i="4"/>
  <c r="G174" i="11"/>
  <c r="F16" i="4"/>
  <c r="E279" i="11"/>
  <c r="E278" i="11" s="1"/>
  <c r="F8" i="4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D8" i="4"/>
  <c r="G111" i="11" s="1"/>
  <c r="C8" i="4"/>
  <c r="F111" i="11" s="1"/>
  <c r="F110" i="11" s="1"/>
  <c r="B8" i="4"/>
  <c r="E111" i="11" s="1"/>
  <c r="E28" i="4"/>
  <c r="R96" i="4"/>
  <c r="E14" i="4" s="1"/>
  <c r="D14" i="4" s="1"/>
  <c r="C14" i="4" s="1"/>
  <c r="B14" i="4" s="1"/>
  <c r="E13" i="4"/>
  <c r="R103" i="4"/>
  <c r="F85" i="4"/>
  <c r="K48" i="11"/>
  <c r="K42" i="11" s="1"/>
  <c r="R82" i="4"/>
  <c r="E3" i="4" s="1"/>
  <c r="D3" i="4" s="1"/>
  <c r="C3" i="4" s="1"/>
  <c r="B3" i="4" s="1"/>
  <c r="S84" i="4"/>
  <c r="S96" i="4"/>
  <c r="E35" i="4" s="1"/>
  <c r="S82" i="4"/>
  <c r="E24" i="4" s="1"/>
  <c r="D24" i="4" s="1"/>
  <c r="C24" i="4" s="1"/>
  <c r="B24" i="4" s="1"/>
  <c r="J88" i="4"/>
  <c r="F93" i="4"/>
  <c r="I95" i="4"/>
  <c r="R84" i="4"/>
  <c r="E6" i="4" s="1"/>
  <c r="F88" i="4"/>
  <c r="R88" i="4"/>
  <c r="E7" i="4" s="1"/>
  <c r="H88" i="4"/>
  <c r="L86" i="4"/>
  <c r="J86" i="4"/>
  <c r="H82" i="4"/>
  <c r="L94" i="4"/>
  <c r="F87" i="4"/>
  <c r="J87" i="4"/>
  <c r="H87" i="4"/>
  <c r="F97" i="4"/>
  <c r="J89" i="4"/>
  <c r="F98" i="4"/>
  <c r="E91" i="4"/>
  <c r="H83" i="4"/>
  <c r="J94" i="4"/>
  <c r="J97" i="4"/>
  <c r="F94" i="4"/>
  <c r="H86" i="4"/>
  <c r="H97" i="4"/>
  <c r="F96" i="4"/>
  <c r="F86" i="4"/>
  <c r="H94" i="4"/>
  <c r="F100" i="4"/>
  <c r="J81" i="4"/>
  <c r="H95" i="4"/>
  <c r="L87" i="4"/>
  <c r="L83" i="4"/>
  <c r="L90" i="4"/>
  <c r="H98" i="4"/>
  <c r="H89" i="4"/>
  <c r="H99" i="4"/>
  <c r="L84" i="4"/>
  <c r="J92" i="4"/>
  <c r="L85" i="4"/>
  <c r="L95" i="4"/>
  <c r="F92" i="4"/>
  <c r="F89" i="4"/>
  <c r="J83" i="4"/>
  <c r="L98" i="4"/>
  <c r="H92" i="4"/>
  <c r="L82" i="4"/>
  <c r="E95" i="4"/>
  <c r="I90" i="4"/>
  <c r="F90" i="4"/>
  <c r="L81" i="4"/>
  <c r="H93" i="4"/>
  <c r="F82" i="4"/>
  <c r="L88" i="4"/>
  <c r="F99" i="4"/>
  <c r="F81" i="4"/>
  <c r="F83" i="4"/>
  <c r="L92" i="4"/>
  <c r="J64" i="4"/>
  <c r="G90" i="4" s="1"/>
  <c r="L89" i="4"/>
  <c r="H100" i="4"/>
  <c r="J93" i="4"/>
  <c r="L93" i="4"/>
  <c r="H81" i="4"/>
  <c r="J100" i="4"/>
  <c r="J98" i="4"/>
  <c r="H96" i="4"/>
  <c r="L99" i="4"/>
  <c r="J99" i="4"/>
  <c r="L96" i="4"/>
  <c r="H84" i="4"/>
  <c r="D101" i="4"/>
  <c r="J96" i="4"/>
  <c r="F84" i="4"/>
  <c r="L100" i="4"/>
  <c r="J85" i="4"/>
  <c r="J84" i="4"/>
  <c r="L97" i="4"/>
  <c r="H85" i="4"/>
  <c r="J82" i="4"/>
  <c r="G32" i="4" l="1"/>
  <c r="H32" i="4" s="1"/>
  <c r="G37" i="4"/>
  <c r="H37" i="4" s="1"/>
  <c r="I91" i="4"/>
  <c r="S92" i="4" s="1"/>
  <c r="E31" i="4" s="1"/>
  <c r="D31" i="4" s="1"/>
  <c r="C31" i="4" s="1"/>
  <c r="B31" i="4" s="1"/>
  <c r="G34" i="4"/>
  <c r="H34" i="4" s="1"/>
  <c r="C89" i="11"/>
  <c r="AA9" i="11" s="1"/>
  <c r="I89" i="11"/>
  <c r="G110" i="11"/>
  <c r="C111" i="11"/>
  <c r="G173" i="11"/>
  <c r="C174" i="11"/>
  <c r="AD10" i="11" s="1"/>
  <c r="G288" i="11"/>
  <c r="J288" i="11" s="1"/>
  <c r="K288" i="11" s="1"/>
  <c r="L288" i="11" s="1"/>
  <c r="M288" i="11" s="1"/>
  <c r="N288" i="11" s="1"/>
  <c r="O288" i="11" s="1"/>
  <c r="P288" i="11" s="1"/>
  <c r="Q288" i="11" s="1"/>
  <c r="R288" i="11" s="1"/>
  <c r="S288" i="11" s="1"/>
  <c r="T288" i="11" s="1"/>
  <c r="U288" i="11" s="1"/>
  <c r="C289" i="11"/>
  <c r="AI40" i="11" s="1"/>
  <c r="G225" i="11"/>
  <c r="I225" i="11" s="1"/>
  <c r="J225" i="11" s="1"/>
  <c r="K225" i="11" s="1"/>
  <c r="L225" i="11" s="1"/>
  <c r="M225" i="11" s="1"/>
  <c r="N225" i="11" s="1"/>
  <c r="O225" i="11" s="1"/>
  <c r="P225" i="11" s="1"/>
  <c r="Q225" i="11" s="1"/>
  <c r="R225" i="11" s="1"/>
  <c r="S225" i="11" s="1"/>
  <c r="T225" i="11" s="1"/>
  <c r="U225" i="11" s="1"/>
  <c r="C226" i="11"/>
  <c r="AF40" i="11" s="1"/>
  <c r="C279" i="11"/>
  <c r="AI10" i="11" s="1"/>
  <c r="G131" i="11"/>
  <c r="C132" i="11"/>
  <c r="AB10" i="11" s="1"/>
  <c r="G183" i="11"/>
  <c r="I183" i="11" s="1"/>
  <c r="J183" i="11" s="1"/>
  <c r="K183" i="11" s="1"/>
  <c r="L183" i="11" s="1"/>
  <c r="M183" i="11" s="1"/>
  <c r="N183" i="11" s="1"/>
  <c r="O183" i="11" s="1"/>
  <c r="P183" i="11" s="1"/>
  <c r="Q183" i="11" s="1"/>
  <c r="R183" i="11" s="1"/>
  <c r="S183" i="11" s="1"/>
  <c r="T183" i="11" s="1"/>
  <c r="U183" i="11" s="1"/>
  <c r="E110" i="11"/>
  <c r="G233" i="11"/>
  <c r="G229" i="11" s="1"/>
  <c r="C229" i="11" s="1"/>
  <c r="AG3" i="11" s="1"/>
  <c r="F233" i="11"/>
  <c r="F234" i="11" s="1"/>
  <c r="F235" i="11" s="1"/>
  <c r="E233" i="11"/>
  <c r="E131" i="11"/>
  <c r="G275" i="11"/>
  <c r="G271" i="11" s="1"/>
  <c r="C271" i="11" s="1"/>
  <c r="AI3" i="11" s="1"/>
  <c r="F275" i="11"/>
  <c r="E275" i="11"/>
  <c r="E271" i="11" s="1"/>
  <c r="E183" i="11"/>
  <c r="F183" i="11"/>
  <c r="F150" i="11"/>
  <c r="F151" i="11" s="1"/>
  <c r="J40" i="11"/>
  <c r="J45" i="11" s="1"/>
  <c r="K41" i="11"/>
  <c r="G16" i="4"/>
  <c r="J279" i="11"/>
  <c r="F89" i="11"/>
  <c r="G68" i="11"/>
  <c r="AA83" i="11"/>
  <c r="AA81" i="11" s="1"/>
  <c r="Z84" i="11"/>
  <c r="AB84" i="11"/>
  <c r="K184" i="11"/>
  <c r="G11" i="4"/>
  <c r="J174" i="11"/>
  <c r="G33" i="4"/>
  <c r="J205" i="11"/>
  <c r="J199" i="11" s="1"/>
  <c r="J198" i="11" s="1"/>
  <c r="J197" i="11" s="1"/>
  <c r="J202" i="11" s="1"/>
  <c r="I216" i="11"/>
  <c r="I210" i="11" s="1"/>
  <c r="I209" i="11" s="1"/>
  <c r="I208" i="11" s="1"/>
  <c r="I213" i="11" s="1"/>
  <c r="H216" i="11"/>
  <c r="G12" i="4"/>
  <c r="J195" i="11"/>
  <c r="J189" i="11" s="1"/>
  <c r="J188" i="11" s="1"/>
  <c r="J187" i="11" s="1"/>
  <c r="J192" i="11" s="1"/>
  <c r="I237" i="11"/>
  <c r="H237" i="11"/>
  <c r="J247" i="11"/>
  <c r="I247" i="11"/>
  <c r="H247" i="11"/>
  <c r="G9" i="4"/>
  <c r="J132" i="11"/>
  <c r="I111" i="11"/>
  <c r="H111" i="11"/>
  <c r="F28" i="4"/>
  <c r="I121" i="11"/>
  <c r="I115" i="11" s="1"/>
  <c r="I114" i="11" s="1"/>
  <c r="I113" i="11" s="1"/>
  <c r="I118" i="11" s="1"/>
  <c r="H121" i="11"/>
  <c r="F7" i="4"/>
  <c r="F6" i="4"/>
  <c r="G6" i="4" s="1"/>
  <c r="H6" i="4" s="1"/>
  <c r="I6" i="4" s="1"/>
  <c r="H91" i="4"/>
  <c r="H90" i="4"/>
  <c r="T90" i="4"/>
  <c r="K101" i="4"/>
  <c r="L101" i="4" s="1"/>
  <c r="U92" i="4"/>
  <c r="G79" i="11"/>
  <c r="I90" i="11"/>
  <c r="H90" i="11"/>
  <c r="D35" i="4"/>
  <c r="G247" i="11" s="1"/>
  <c r="C35" i="4"/>
  <c r="F247" i="11" s="1"/>
  <c r="F246" i="11" s="1"/>
  <c r="B35" i="4"/>
  <c r="E247" i="11" s="1"/>
  <c r="E246" i="11" s="1"/>
  <c r="I100" i="11"/>
  <c r="I94" i="11" s="1"/>
  <c r="I93" i="11" s="1"/>
  <c r="I92" i="11" s="1"/>
  <c r="I97" i="11" s="1"/>
  <c r="H100" i="11"/>
  <c r="E27" i="4"/>
  <c r="F27" i="4" s="1"/>
  <c r="G27" i="4" s="1"/>
  <c r="H27" i="4" s="1"/>
  <c r="I27" i="4" s="1"/>
  <c r="F13" i="4"/>
  <c r="D13" i="4"/>
  <c r="G216" i="11" s="1"/>
  <c r="C13" i="4"/>
  <c r="B13" i="4"/>
  <c r="F14" i="4"/>
  <c r="G237" i="11"/>
  <c r="F237" i="11"/>
  <c r="F236" i="11" s="1"/>
  <c r="E237" i="11"/>
  <c r="E236" i="11" s="1"/>
  <c r="E5" i="4"/>
  <c r="L48" i="11"/>
  <c r="L42" i="11" s="1"/>
  <c r="I37" i="11"/>
  <c r="H37" i="11"/>
  <c r="F3" i="4"/>
  <c r="I27" i="11"/>
  <c r="H27" i="11"/>
  <c r="F24" i="4"/>
  <c r="J91" i="4"/>
  <c r="J95" i="4"/>
  <c r="S97" i="4"/>
  <c r="E36" i="4" s="1"/>
  <c r="D36" i="4" s="1"/>
  <c r="C36" i="4" s="1"/>
  <c r="B36" i="4" s="1"/>
  <c r="J90" i="4"/>
  <c r="S90" i="4"/>
  <c r="E30" i="4" s="1"/>
  <c r="D30" i="4" s="1"/>
  <c r="C30" i="4" s="1"/>
  <c r="B30" i="4" s="1"/>
  <c r="F91" i="4"/>
  <c r="R92" i="4"/>
  <c r="E10" i="4" s="1"/>
  <c r="D10" i="4" s="1"/>
  <c r="C10" i="4" s="1"/>
  <c r="B10" i="4" s="1"/>
  <c r="F95" i="4"/>
  <c r="R97" i="4"/>
  <c r="E15" i="4" s="1"/>
  <c r="D15" i="4" s="1"/>
  <c r="C15" i="4" s="1"/>
  <c r="B15" i="4" s="1"/>
  <c r="E101" i="4"/>
  <c r="F101" i="4" s="1"/>
  <c r="G101" i="4"/>
  <c r="H101" i="4" s="1"/>
  <c r="I101" i="4"/>
  <c r="J101" i="4" s="1"/>
  <c r="K289" i="11" l="1"/>
  <c r="K283" i="11" s="1"/>
  <c r="K282" i="11" s="1"/>
  <c r="K281" i="11" s="1"/>
  <c r="K286" i="11" s="1"/>
  <c r="K226" i="11"/>
  <c r="K220" i="11" s="1"/>
  <c r="K219" i="11" s="1"/>
  <c r="K218" i="11" s="1"/>
  <c r="K223" i="11" s="1"/>
  <c r="K178" i="11"/>
  <c r="K177" i="11" s="1"/>
  <c r="K176" i="11" s="1"/>
  <c r="K181" i="11" s="1"/>
  <c r="J220" i="11"/>
  <c r="J219" i="11" s="1"/>
  <c r="J218" i="11" s="1"/>
  <c r="J223" i="11" s="1"/>
  <c r="J283" i="11"/>
  <c r="J282" i="11" s="1"/>
  <c r="J281" i="11" s="1"/>
  <c r="J286" i="11" s="1"/>
  <c r="I220" i="11"/>
  <c r="I219" i="11" s="1"/>
  <c r="I218" i="11" s="1"/>
  <c r="I223" i="11" s="1"/>
  <c r="I283" i="11"/>
  <c r="I282" i="11" s="1"/>
  <c r="I281" i="11" s="1"/>
  <c r="I286" i="11" s="1"/>
  <c r="J178" i="11"/>
  <c r="J177" i="11" s="1"/>
  <c r="J176" i="11" s="1"/>
  <c r="J181" i="11" s="1"/>
  <c r="I178" i="11"/>
  <c r="I177" i="11" s="1"/>
  <c r="I176" i="11" s="1"/>
  <c r="I181" i="11" s="1"/>
  <c r="F271" i="11"/>
  <c r="F276" i="11" s="1"/>
  <c r="F277" i="11" s="1"/>
  <c r="C183" i="11"/>
  <c r="AD39" i="11" s="1"/>
  <c r="D183" i="11"/>
  <c r="AD48" i="11" s="1"/>
  <c r="C131" i="11"/>
  <c r="AB9" i="11" s="1"/>
  <c r="I131" i="11"/>
  <c r="I126" i="11" s="1"/>
  <c r="I125" i="11" s="1"/>
  <c r="I124" i="11" s="1"/>
  <c r="I129" i="11" s="1"/>
  <c r="C173" i="11"/>
  <c r="AD9" i="11" s="1"/>
  <c r="I173" i="11"/>
  <c r="I168" i="11" s="1"/>
  <c r="I167" i="11" s="1"/>
  <c r="I166" i="11" s="1"/>
  <c r="I171" i="11" s="1"/>
  <c r="C278" i="11"/>
  <c r="AI9" i="11" s="1"/>
  <c r="J278" i="11"/>
  <c r="K278" i="11" s="1"/>
  <c r="L278" i="11" s="1"/>
  <c r="M278" i="11" s="1"/>
  <c r="N278" i="11" s="1"/>
  <c r="O278" i="11" s="1"/>
  <c r="P278" i="11" s="1"/>
  <c r="Q278" i="11" s="1"/>
  <c r="R278" i="11" s="1"/>
  <c r="S278" i="11" s="1"/>
  <c r="T278" i="11" s="1"/>
  <c r="U278" i="11" s="1"/>
  <c r="C110" i="11"/>
  <c r="I110" i="11"/>
  <c r="J110" i="11" s="1"/>
  <c r="F68" i="11"/>
  <c r="F69" i="11" s="1"/>
  <c r="I68" i="11"/>
  <c r="J68" i="11" s="1"/>
  <c r="K68" i="11" s="1"/>
  <c r="L68" i="11" s="1"/>
  <c r="M68" i="11" s="1"/>
  <c r="N68" i="11" s="1"/>
  <c r="O68" i="11" s="1"/>
  <c r="P68" i="11" s="1"/>
  <c r="Q68" i="11" s="1"/>
  <c r="R68" i="11" s="1"/>
  <c r="S68" i="11" s="1"/>
  <c r="T68" i="11" s="1"/>
  <c r="U68" i="11" s="1"/>
  <c r="D68" i="11" s="1"/>
  <c r="Z18" i="11" s="1"/>
  <c r="Z27" i="11" s="1"/>
  <c r="C225" i="11"/>
  <c r="AF39" i="11" s="1"/>
  <c r="D225" i="11"/>
  <c r="AF48" i="11" s="1"/>
  <c r="C288" i="11"/>
  <c r="AI39" i="11" s="1"/>
  <c r="G246" i="11"/>
  <c r="I246" i="11" s="1"/>
  <c r="J246" i="11" s="1"/>
  <c r="C247" i="11"/>
  <c r="AG40" i="11" s="1"/>
  <c r="G210" i="11"/>
  <c r="G5" i="11" s="1"/>
  <c r="C216" i="11"/>
  <c r="AF10" i="11" s="1"/>
  <c r="G78" i="11"/>
  <c r="I78" i="11" s="1"/>
  <c r="J78" i="11" s="1"/>
  <c r="K78" i="11" s="1"/>
  <c r="L78" i="11" s="1"/>
  <c r="M78" i="11" s="1"/>
  <c r="N78" i="11" s="1"/>
  <c r="O78" i="11" s="1"/>
  <c r="P78" i="11" s="1"/>
  <c r="Q78" i="11" s="1"/>
  <c r="R78" i="11" s="1"/>
  <c r="S78" i="11" s="1"/>
  <c r="T78" i="11" s="1"/>
  <c r="U78" i="11" s="1"/>
  <c r="C79" i="11"/>
  <c r="Z40" i="11" s="1"/>
  <c r="G236" i="11"/>
  <c r="C237" i="11"/>
  <c r="AG10" i="11" s="1"/>
  <c r="C275" i="11"/>
  <c r="G276" i="11"/>
  <c r="I233" i="11"/>
  <c r="J233" i="11" s="1"/>
  <c r="K233" i="11" s="1"/>
  <c r="L233" i="11" s="1"/>
  <c r="M233" i="11" s="1"/>
  <c r="N233" i="11" s="1"/>
  <c r="O233" i="11" s="1"/>
  <c r="P233" i="11" s="1"/>
  <c r="Q233" i="11" s="1"/>
  <c r="R233" i="11" s="1"/>
  <c r="S233" i="11" s="1"/>
  <c r="T233" i="11" s="1"/>
  <c r="U233" i="11" s="1"/>
  <c r="D233" i="11" s="1"/>
  <c r="E234" i="11"/>
  <c r="E235" i="11" s="1"/>
  <c r="J235" i="11" s="1"/>
  <c r="K235" i="11" s="1"/>
  <c r="L235" i="11" s="1"/>
  <c r="M235" i="11" s="1"/>
  <c r="N235" i="11" s="1"/>
  <c r="O235" i="11" s="1"/>
  <c r="P235" i="11" s="1"/>
  <c r="Q235" i="11" s="1"/>
  <c r="R235" i="11" s="1"/>
  <c r="S235" i="11" s="1"/>
  <c r="T235" i="11" s="1"/>
  <c r="U235" i="11" s="1"/>
  <c r="D235" i="11" s="1"/>
  <c r="AG17" i="11" s="1"/>
  <c r="AG26" i="11" s="1"/>
  <c r="C233" i="11"/>
  <c r="G234" i="11"/>
  <c r="I275" i="11"/>
  <c r="J275" i="11" s="1"/>
  <c r="K275" i="11" s="1"/>
  <c r="L275" i="11" s="1"/>
  <c r="M275" i="11" s="1"/>
  <c r="N275" i="11" s="1"/>
  <c r="O275" i="11" s="1"/>
  <c r="P275" i="11" s="1"/>
  <c r="Q275" i="11" s="1"/>
  <c r="R275" i="11" s="1"/>
  <c r="S275" i="11" s="1"/>
  <c r="T275" i="11" s="1"/>
  <c r="U275" i="11" s="1"/>
  <c r="D275" i="11" s="1"/>
  <c r="E276" i="11"/>
  <c r="E277" i="11" s="1"/>
  <c r="E150" i="11"/>
  <c r="E151" i="11" s="1"/>
  <c r="G150" i="11"/>
  <c r="K40" i="11"/>
  <c r="K45" i="11" s="1"/>
  <c r="L41" i="11"/>
  <c r="H16" i="4"/>
  <c r="K279" i="11"/>
  <c r="I37" i="4"/>
  <c r="L289" i="11"/>
  <c r="L283" i="11" s="1"/>
  <c r="L282" i="11" s="1"/>
  <c r="L281" i="11" s="1"/>
  <c r="L286" i="11" s="1"/>
  <c r="F90" i="11"/>
  <c r="C68" i="11"/>
  <c r="Z9" i="11" s="1"/>
  <c r="H33" i="4"/>
  <c r="K205" i="11"/>
  <c r="K199" i="11" s="1"/>
  <c r="K198" i="11" s="1"/>
  <c r="K197" i="11" s="1"/>
  <c r="K202" i="11" s="1"/>
  <c r="G13" i="4"/>
  <c r="J216" i="11"/>
  <c r="J210" i="11" s="1"/>
  <c r="J209" i="11" s="1"/>
  <c r="J208" i="11" s="1"/>
  <c r="J213" i="11" s="1"/>
  <c r="H9" i="4"/>
  <c r="K132" i="11"/>
  <c r="F31" i="4"/>
  <c r="J163" i="11" s="1"/>
  <c r="I163" i="11"/>
  <c r="H163" i="11"/>
  <c r="I34" i="4"/>
  <c r="L226" i="11"/>
  <c r="L220" i="11" s="1"/>
  <c r="L219" i="11" s="1"/>
  <c r="L218" i="11" s="1"/>
  <c r="L223" i="11" s="1"/>
  <c r="K247" i="11"/>
  <c r="H12" i="4"/>
  <c r="K195" i="11"/>
  <c r="K189" i="11" s="1"/>
  <c r="K188" i="11" s="1"/>
  <c r="K187" i="11" s="1"/>
  <c r="K192" i="11" s="1"/>
  <c r="F30" i="4"/>
  <c r="J142" i="11" s="1"/>
  <c r="I142" i="11"/>
  <c r="H142" i="11"/>
  <c r="F36" i="4"/>
  <c r="J268" i="11" s="1"/>
  <c r="I268" i="11"/>
  <c r="H268" i="11"/>
  <c r="I258" i="11"/>
  <c r="H258" i="11"/>
  <c r="G14" i="4"/>
  <c r="J237" i="11"/>
  <c r="H11" i="4"/>
  <c r="K174" i="11"/>
  <c r="I153" i="11"/>
  <c r="H153" i="11"/>
  <c r="I32" i="4"/>
  <c r="L184" i="11"/>
  <c r="L178" i="11" s="1"/>
  <c r="L177" i="11" s="1"/>
  <c r="L176" i="11" s="1"/>
  <c r="L181" i="11" s="1"/>
  <c r="G7" i="4"/>
  <c r="G5" i="4" s="1"/>
  <c r="J111" i="11"/>
  <c r="F5" i="4"/>
  <c r="G28" i="4"/>
  <c r="J121" i="11"/>
  <c r="J115" i="11" s="1"/>
  <c r="J114" i="11" s="1"/>
  <c r="J113" i="11" s="1"/>
  <c r="J118" i="11" s="1"/>
  <c r="F26" i="4"/>
  <c r="J100" i="11"/>
  <c r="J94" i="11" s="1"/>
  <c r="J93" i="11" s="1"/>
  <c r="J92" i="11" s="1"/>
  <c r="J97" i="11" s="1"/>
  <c r="E26" i="4"/>
  <c r="E40" i="4" s="1"/>
  <c r="E41" i="4" s="1"/>
  <c r="E142" i="11"/>
  <c r="E141" i="11" s="1"/>
  <c r="G142" i="11"/>
  <c r="F142" i="11"/>
  <c r="F141" i="11" s="1"/>
  <c r="E268" i="11"/>
  <c r="E267" i="11" s="1"/>
  <c r="G268" i="11"/>
  <c r="G163" i="11"/>
  <c r="F163" i="11"/>
  <c r="F162" i="11" s="1"/>
  <c r="E163" i="11"/>
  <c r="E162" i="11" s="1"/>
  <c r="J90" i="11"/>
  <c r="F10" i="4"/>
  <c r="G153" i="11"/>
  <c r="F153" i="11"/>
  <c r="F152" i="11" s="1"/>
  <c r="E153" i="11"/>
  <c r="E152" i="11" s="1"/>
  <c r="F15" i="4"/>
  <c r="G258" i="11"/>
  <c r="F258" i="11"/>
  <c r="F257" i="11" s="1"/>
  <c r="E258" i="11"/>
  <c r="E257" i="11" s="1"/>
  <c r="E19" i="4"/>
  <c r="E20" i="4" s="1"/>
  <c r="F27" i="11"/>
  <c r="X83" i="11" s="1"/>
  <c r="X81" i="11" s="1"/>
  <c r="F37" i="11"/>
  <c r="E37" i="11"/>
  <c r="G24" i="4"/>
  <c r="E27" i="11"/>
  <c r="R100" i="4"/>
  <c r="R101" i="4" s="1"/>
  <c r="G37" i="11"/>
  <c r="C37" i="11" s="1"/>
  <c r="X40" i="11" s="1"/>
  <c r="I79" i="11"/>
  <c r="H79" i="11"/>
  <c r="G27" i="11"/>
  <c r="I69" i="11"/>
  <c r="H69" i="11"/>
  <c r="G3" i="4"/>
  <c r="J27" i="11"/>
  <c r="J37" i="11"/>
  <c r="M48" i="11"/>
  <c r="M42" i="11" s="1"/>
  <c r="S100" i="4"/>
  <c r="C5" i="11" l="1"/>
  <c r="I73" i="11"/>
  <c r="I105" i="11"/>
  <c r="I104" i="11" s="1"/>
  <c r="J241" i="11"/>
  <c r="J240" i="11" s="1"/>
  <c r="J239" i="11" s="1"/>
  <c r="J244" i="11" s="1"/>
  <c r="I241" i="11"/>
  <c r="I240" i="11" s="1"/>
  <c r="I239" i="11" s="1"/>
  <c r="I244" i="11" s="1"/>
  <c r="J131" i="11"/>
  <c r="K131" i="11" s="1"/>
  <c r="L131" i="11" s="1"/>
  <c r="J273" i="11"/>
  <c r="J272" i="11" s="1"/>
  <c r="J271" i="11" s="1"/>
  <c r="J276" i="11" s="1"/>
  <c r="J173" i="11"/>
  <c r="K173" i="11" s="1"/>
  <c r="F78" i="11"/>
  <c r="F79" i="11" s="1"/>
  <c r="C27" i="4" s="1"/>
  <c r="C26" i="4" s="1"/>
  <c r="C40" i="4" s="1"/>
  <c r="C41" i="4" s="1"/>
  <c r="D78" i="11"/>
  <c r="Z48" i="11" s="1"/>
  <c r="C246" i="11"/>
  <c r="AG39" i="11" s="1"/>
  <c r="I273" i="11"/>
  <c r="I272" i="11" s="1"/>
  <c r="I271" i="11" s="1"/>
  <c r="I276" i="11" s="1"/>
  <c r="C236" i="11"/>
  <c r="AG9" i="11" s="1"/>
  <c r="I236" i="11"/>
  <c r="J236" i="11" s="1"/>
  <c r="K236" i="11" s="1"/>
  <c r="G209" i="11"/>
  <c r="G4" i="11" s="1"/>
  <c r="C4" i="11" s="1"/>
  <c r="C210" i="11"/>
  <c r="AF5" i="11" s="1"/>
  <c r="G141" i="11"/>
  <c r="I141" i="11" s="1"/>
  <c r="J141" i="11" s="1"/>
  <c r="K141" i="11" s="1"/>
  <c r="L141" i="11" s="1"/>
  <c r="M141" i="11" s="1"/>
  <c r="N141" i="11" s="1"/>
  <c r="O141" i="11" s="1"/>
  <c r="P141" i="11" s="1"/>
  <c r="Q141" i="11" s="1"/>
  <c r="R141" i="11" s="1"/>
  <c r="S141" i="11" s="1"/>
  <c r="T141" i="11" s="1"/>
  <c r="U141" i="11" s="1"/>
  <c r="C142" i="11"/>
  <c r="AB40" i="11" s="1"/>
  <c r="G152" i="11"/>
  <c r="C153" i="11"/>
  <c r="AC10" i="11" s="1"/>
  <c r="Y83" i="11"/>
  <c r="AE83" i="11" s="1"/>
  <c r="AE81" i="11" s="1"/>
  <c r="C27" i="11"/>
  <c r="X10" i="11" s="1"/>
  <c r="G257" i="11"/>
  <c r="C258" i="11"/>
  <c r="AH10" i="11" s="1"/>
  <c r="C78" i="11"/>
  <c r="Z39" i="11" s="1"/>
  <c r="G162" i="11"/>
  <c r="I162" i="11" s="1"/>
  <c r="J162" i="11" s="1"/>
  <c r="K162" i="11" s="1"/>
  <c r="L162" i="11" s="1"/>
  <c r="M162" i="11" s="1"/>
  <c r="N162" i="11" s="1"/>
  <c r="O162" i="11" s="1"/>
  <c r="P162" i="11" s="1"/>
  <c r="Q162" i="11" s="1"/>
  <c r="R162" i="11" s="1"/>
  <c r="S162" i="11" s="1"/>
  <c r="T162" i="11" s="1"/>
  <c r="U162" i="11" s="1"/>
  <c r="C163" i="11"/>
  <c r="AC40" i="11" s="1"/>
  <c r="G267" i="11"/>
  <c r="I267" i="11" s="1"/>
  <c r="J267" i="11" s="1"/>
  <c r="K267" i="11" s="1"/>
  <c r="L267" i="11" s="1"/>
  <c r="M267" i="11" s="1"/>
  <c r="N267" i="11" s="1"/>
  <c r="O267" i="11" s="1"/>
  <c r="P267" i="11" s="1"/>
  <c r="Q267" i="11" s="1"/>
  <c r="R267" i="11" s="1"/>
  <c r="S267" i="11" s="1"/>
  <c r="T267" i="11" s="1"/>
  <c r="U267" i="11" s="1"/>
  <c r="C268" i="11"/>
  <c r="AH40" i="11" s="1"/>
  <c r="J89" i="11"/>
  <c r="K89" i="11" s="1"/>
  <c r="L89" i="11" s="1"/>
  <c r="M89" i="11" s="1"/>
  <c r="N89" i="11" s="1"/>
  <c r="O89" i="11" s="1"/>
  <c r="P89" i="11" s="1"/>
  <c r="Q89" i="11" s="1"/>
  <c r="R89" i="11" s="1"/>
  <c r="S89" i="11" s="1"/>
  <c r="T89" i="11" s="1"/>
  <c r="U89" i="11" s="1"/>
  <c r="I84" i="11"/>
  <c r="I83" i="11" s="1"/>
  <c r="C234" i="11"/>
  <c r="AG7" i="11" s="1"/>
  <c r="G235" i="11"/>
  <c r="C235" i="11" s="1"/>
  <c r="AG8" i="11" s="1"/>
  <c r="C276" i="11"/>
  <c r="AI7" i="11" s="1"/>
  <c r="G277" i="11"/>
  <c r="C277" i="11" s="1"/>
  <c r="AI8" i="11" s="1"/>
  <c r="E65" i="11"/>
  <c r="E7" i="11" s="1"/>
  <c r="G65" i="11"/>
  <c r="G7" i="11" s="1"/>
  <c r="C7" i="11" s="1"/>
  <c r="F65" i="11"/>
  <c r="C150" i="11"/>
  <c r="AC7" i="11" s="1"/>
  <c r="G151" i="11"/>
  <c r="C151" i="11" s="1"/>
  <c r="AC8" i="11" s="1"/>
  <c r="L40" i="11"/>
  <c r="L45" i="11" s="1"/>
  <c r="M41" i="11"/>
  <c r="K273" i="11"/>
  <c r="K272" i="11" s="1"/>
  <c r="K271" i="11" s="1"/>
  <c r="K276" i="11" s="1"/>
  <c r="I16" i="4"/>
  <c r="L279" i="11"/>
  <c r="J37" i="4"/>
  <c r="M289" i="11"/>
  <c r="M283" i="11" s="1"/>
  <c r="M282" i="11" s="1"/>
  <c r="M281" i="11" s="1"/>
  <c r="M286" i="11" s="1"/>
  <c r="C7" i="4"/>
  <c r="AB83" i="11"/>
  <c r="AB81" i="11" s="1"/>
  <c r="C6" i="4"/>
  <c r="Z83" i="11"/>
  <c r="G36" i="4"/>
  <c r="K268" i="11" s="1"/>
  <c r="F40" i="4"/>
  <c r="F41" i="4" s="1"/>
  <c r="G15" i="4"/>
  <c r="J258" i="11"/>
  <c r="I9" i="4"/>
  <c r="L132" i="11"/>
  <c r="G31" i="4"/>
  <c r="G30" i="4"/>
  <c r="J32" i="4"/>
  <c r="M184" i="11"/>
  <c r="M178" i="11" s="1"/>
  <c r="M177" i="11" s="1"/>
  <c r="M176" i="11" s="1"/>
  <c r="M181" i="11" s="1"/>
  <c r="I12" i="4"/>
  <c r="L195" i="11"/>
  <c r="L189" i="11" s="1"/>
  <c r="L188" i="11" s="1"/>
  <c r="L187" i="11" s="1"/>
  <c r="L192" i="11" s="1"/>
  <c r="H13" i="4"/>
  <c r="K216" i="11"/>
  <c r="K210" i="11" s="1"/>
  <c r="K209" i="11" s="1"/>
  <c r="K208" i="11" s="1"/>
  <c r="K213" i="11" s="1"/>
  <c r="H14" i="4"/>
  <c r="H35" i="4" s="1"/>
  <c r="K237" i="11"/>
  <c r="L247" i="11"/>
  <c r="I11" i="4"/>
  <c r="L174" i="11"/>
  <c r="J34" i="4"/>
  <c r="M226" i="11"/>
  <c r="M220" i="11" s="1"/>
  <c r="M219" i="11" s="1"/>
  <c r="M218" i="11" s="1"/>
  <c r="M223" i="11" s="1"/>
  <c r="G10" i="4"/>
  <c r="J153" i="11"/>
  <c r="F268" i="11"/>
  <c r="F267" i="11" s="1"/>
  <c r="I33" i="4"/>
  <c r="L205" i="11"/>
  <c r="L199" i="11" s="1"/>
  <c r="L198" i="11" s="1"/>
  <c r="L197" i="11" s="1"/>
  <c r="L202" i="11" s="1"/>
  <c r="H28" i="4"/>
  <c r="H26" i="4" s="1"/>
  <c r="K121" i="11"/>
  <c r="K115" i="11" s="1"/>
  <c r="K114" i="11" s="1"/>
  <c r="K113" i="11" s="1"/>
  <c r="K118" i="11" s="1"/>
  <c r="K110" i="11"/>
  <c r="J105" i="11"/>
  <c r="H7" i="4"/>
  <c r="H5" i="4" s="1"/>
  <c r="K111" i="11"/>
  <c r="G26" i="4"/>
  <c r="D40" i="4"/>
  <c r="D41" i="4" s="1"/>
  <c r="B40" i="4"/>
  <c r="B41" i="4" s="1"/>
  <c r="D19" i="4"/>
  <c r="D20" i="4" s="1"/>
  <c r="B19" i="4"/>
  <c r="B20" i="4" s="1"/>
  <c r="K90" i="11"/>
  <c r="K100" i="11"/>
  <c r="K94" i="11" s="1"/>
  <c r="K93" i="11" s="1"/>
  <c r="K92" i="11" s="1"/>
  <c r="K97" i="11" s="1"/>
  <c r="F19" i="4"/>
  <c r="R104" i="4"/>
  <c r="J79" i="11"/>
  <c r="J73" i="11" s="1"/>
  <c r="H24" i="4"/>
  <c r="S104" i="4"/>
  <c r="S101" i="4"/>
  <c r="J69" i="11"/>
  <c r="J63" i="11" s="1"/>
  <c r="J62" i="11" s="1"/>
  <c r="K37" i="11"/>
  <c r="N48" i="11"/>
  <c r="N42" i="11" s="1"/>
  <c r="H3" i="4"/>
  <c r="K27" i="11"/>
  <c r="I72" i="11" l="1"/>
  <c r="I71" i="11" s="1"/>
  <c r="I76" i="11" s="1"/>
  <c r="I70" i="11"/>
  <c r="J72" i="11"/>
  <c r="J71" i="11" s="1"/>
  <c r="J76" i="11" s="1"/>
  <c r="J70" i="11"/>
  <c r="K262" i="11"/>
  <c r="K261" i="11" s="1"/>
  <c r="K260" i="11" s="1"/>
  <c r="K265" i="11" s="1"/>
  <c r="L236" i="11"/>
  <c r="K246" i="11"/>
  <c r="K241" i="11" s="1"/>
  <c r="K240" i="11" s="1"/>
  <c r="K239" i="11" s="1"/>
  <c r="K244" i="11" s="1"/>
  <c r="J168" i="11"/>
  <c r="J167" i="11" s="1"/>
  <c r="J166" i="11" s="1"/>
  <c r="J171" i="11" s="1"/>
  <c r="J136" i="11"/>
  <c r="J135" i="11" s="1"/>
  <c r="J134" i="11" s="1"/>
  <c r="J139" i="11" s="1"/>
  <c r="J157" i="11"/>
  <c r="J156" i="11" s="1"/>
  <c r="J155" i="11" s="1"/>
  <c r="J160" i="11" s="1"/>
  <c r="I262" i="11"/>
  <c r="I261" i="11" s="1"/>
  <c r="I260" i="11" s="1"/>
  <c r="I265" i="11" s="1"/>
  <c r="I157" i="11"/>
  <c r="I156" i="11" s="1"/>
  <c r="I155" i="11" s="1"/>
  <c r="I160" i="11" s="1"/>
  <c r="J262" i="11"/>
  <c r="J261" i="11" s="1"/>
  <c r="J260" i="11" s="1"/>
  <c r="J265" i="11" s="1"/>
  <c r="I136" i="11"/>
  <c r="I135" i="11" s="1"/>
  <c r="I134" i="11" s="1"/>
  <c r="I139" i="11" s="1"/>
  <c r="G208" i="11"/>
  <c r="G213" i="11" s="1"/>
  <c r="C209" i="11"/>
  <c r="AF4" i="11" s="1"/>
  <c r="K126" i="11"/>
  <c r="K125" i="11" s="1"/>
  <c r="K124" i="11" s="1"/>
  <c r="K129" i="11" s="1"/>
  <c r="J126" i="11"/>
  <c r="J125" i="11" s="1"/>
  <c r="J124" i="11" s="1"/>
  <c r="J129" i="11" s="1"/>
  <c r="I231" i="11"/>
  <c r="I230" i="11" s="1"/>
  <c r="I229" i="11" s="1"/>
  <c r="I234" i="11" s="1"/>
  <c r="C267" i="11"/>
  <c r="AH39" i="11" s="1"/>
  <c r="C162" i="11"/>
  <c r="AC39" i="11" s="1"/>
  <c r="D162" i="11"/>
  <c r="AC48" i="11" s="1"/>
  <c r="C152" i="11"/>
  <c r="AC9" i="11" s="1"/>
  <c r="I152" i="11"/>
  <c r="J152" i="11" s="1"/>
  <c r="J147" i="11" s="1"/>
  <c r="J146" i="11" s="1"/>
  <c r="AJ40" i="11"/>
  <c r="C141" i="11"/>
  <c r="AB39" i="11" s="1"/>
  <c r="C257" i="11"/>
  <c r="AH9" i="11" s="1"/>
  <c r="I257" i="11"/>
  <c r="I252" i="11" s="1"/>
  <c r="I251" i="11" s="1"/>
  <c r="I250" i="11" s="1"/>
  <c r="I255" i="11" s="1"/>
  <c r="AJ10" i="11"/>
  <c r="K84" i="11"/>
  <c r="K83" i="11" s="1"/>
  <c r="Y81" i="11"/>
  <c r="J84" i="11"/>
  <c r="J83" i="11" s="1"/>
  <c r="J59" i="11" s="1"/>
  <c r="Z82" i="11"/>
  <c r="AF82" i="11" s="1"/>
  <c r="F7" i="11"/>
  <c r="C65" i="11"/>
  <c r="AA82" i="11"/>
  <c r="I65" i="11"/>
  <c r="I7" i="11" s="1"/>
  <c r="M40" i="11"/>
  <c r="M45" i="11" s="1"/>
  <c r="N41" i="11"/>
  <c r="J104" i="11"/>
  <c r="I103" i="11"/>
  <c r="I108" i="11" s="1"/>
  <c r="H36" i="4"/>
  <c r="I36" i="4" s="1"/>
  <c r="K37" i="4"/>
  <c r="N289" i="11"/>
  <c r="N283" i="11" s="1"/>
  <c r="N282" i="11" s="1"/>
  <c r="N281" i="11" s="1"/>
  <c r="N286" i="11" s="1"/>
  <c r="J16" i="4"/>
  <c r="M279" i="11"/>
  <c r="L273" i="11"/>
  <c r="L272" i="11" s="1"/>
  <c r="L271" i="11" s="1"/>
  <c r="L276" i="11" s="1"/>
  <c r="C5" i="4"/>
  <c r="C19" i="4" s="1"/>
  <c r="C20" i="4" s="1"/>
  <c r="AD83" i="11"/>
  <c r="AD81" i="11" s="1"/>
  <c r="Z81" i="11"/>
  <c r="G19" i="4"/>
  <c r="I13" i="4"/>
  <c r="L216" i="11"/>
  <c r="L210" i="11" s="1"/>
  <c r="L209" i="11" s="1"/>
  <c r="L208" i="11" s="1"/>
  <c r="L213" i="11" s="1"/>
  <c r="H30" i="4"/>
  <c r="K142" i="11"/>
  <c r="K136" i="11" s="1"/>
  <c r="K135" i="11" s="1"/>
  <c r="K134" i="11" s="1"/>
  <c r="K139" i="11" s="1"/>
  <c r="K168" i="11"/>
  <c r="K167" i="11" s="1"/>
  <c r="K166" i="11" s="1"/>
  <c r="K171" i="11" s="1"/>
  <c r="L173" i="11"/>
  <c r="H31" i="4"/>
  <c r="K163" i="11"/>
  <c r="K157" i="11" s="1"/>
  <c r="K156" i="11" s="1"/>
  <c r="K155" i="11" s="1"/>
  <c r="K160" i="11" s="1"/>
  <c r="H10" i="4"/>
  <c r="K153" i="11"/>
  <c r="M247" i="11"/>
  <c r="J12" i="4"/>
  <c r="M195" i="11"/>
  <c r="M189" i="11" s="1"/>
  <c r="M188" i="11" s="1"/>
  <c r="M187" i="11" s="1"/>
  <c r="M192" i="11" s="1"/>
  <c r="J33" i="4"/>
  <c r="M205" i="11"/>
  <c r="M199" i="11" s="1"/>
  <c r="M198" i="11" s="1"/>
  <c r="M197" i="11" s="1"/>
  <c r="M202" i="11" s="1"/>
  <c r="J9" i="4"/>
  <c r="M132" i="11"/>
  <c r="H15" i="4"/>
  <c r="K258" i="11"/>
  <c r="K34" i="4"/>
  <c r="N226" i="11"/>
  <c r="N220" i="11" s="1"/>
  <c r="N219" i="11" s="1"/>
  <c r="N218" i="11" s="1"/>
  <c r="N223" i="11" s="1"/>
  <c r="J231" i="11"/>
  <c r="J230" i="11" s="1"/>
  <c r="J229" i="11" s="1"/>
  <c r="J234" i="11" s="1"/>
  <c r="L126" i="11"/>
  <c r="L125" i="11" s="1"/>
  <c r="L124" i="11" s="1"/>
  <c r="L129" i="11" s="1"/>
  <c r="M131" i="11"/>
  <c r="I14" i="4"/>
  <c r="I35" i="4" s="1"/>
  <c r="J35" i="4" s="1"/>
  <c r="L237" i="11"/>
  <c r="J11" i="4"/>
  <c r="M174" i="11"/>
  <c r="K32" i="4"/>
  <c r="N184" i="11"/>
  <c r="N178" i="11" s="1"/>
  <c r="N177" i="11" s="1"/>
  <c r="N176" i="11" s="1"/>
  <c r="N181" i="11" s="1"/>
  <c r="L110" i="11"/>
  <c r="K105" i="11"/>
  <c r="I7" i="4"/>
  <c r="M111" i="11" s="1"/>
  <c r="L111" i="11"/>
  <c r="I28" i="4"/>
  <c r="M121" i="11" s="1"/>
  <c r="M115" i="11" s="1"/>
  <c r="M114" i="11" s="1"/>
  <c r="M113" i="11" s="1"/>
  <c r="M118" i="11" s="1"/>
  <c r="L121" i="11"/>
  <c r="L115" i="11" s="1"/>
  <c r="L114" i="11" s="1"/>
  <c r="L113" i="11" s="1"/>
  <c r="L118" i="11" s="1"/>
  <c r="J6" i="4"/>
  <c r="K6" i="4" s="1"/>
  <c r="L6" i="4" s="1"/>
  <c r="M6" i="4" s="1"/>
  <c r="N6" i="4" s="1"/>
  <c r="O6" i="4" s="1"/>
  <c r="P6" i="4" s="1"/>
  <c r="Q6" i="4" s="1"/>
  <c r="J27" i="4"/>
  <c r="L100" i="11"/>
  <c r="L94" i="11" s="1"/>
  <c r="L93" i="11" s="1"/>
  <c r="L92" i="11" s="1"/>
  <c r="L97" i="11" s="1"/>
  <c r="G40" i="4"/>
  <c r="G41" i="4" s="1"/>
  <c r="L90" i="11"/>
  <c r="L84" i="11" s="1"/>
  <c r="L83" i="11" s="1"/>
  <c r="I24" i="4"/>
  <c r="K79" i="11"/>
  <c r="K73" i="11" s="1"/>
  <c r="K69" i="11"/>
  <c r="K63" i="11" s="1"/>
  <c r="K62" i="11" s="1"/>
  <c r="O48" i="11"/>
  <c r="O42" i="11" s="1"/>
  <c r="I3" i="4"/>
  <c r="L27" i="11"/>
  <c r="L37" i="11"/>
  <c r="F39" i="9"/>
  <c r="C39" i="9" l="1"/>
  <c r="B39" i="9" s="1"/>
  <c r="E103" i="10"/>
  <c r="E105" i="10" s="1"/>
  <c r="K59" i="11"/>
  <c r="K72" i="11"/>
  <c r="K71" i="11" s="1"/>
  <c r="K76" i="11" s="1"/>
  <c r="K70" i="11"/>
  <c r="M236" i="11"/>
  <c r="L246" i="11"/>
  <c r="L241" i="11" s="1"/>
  <c r="L240" i="11" s="1"/>
  <c r="L239" i="11" s="1"/>
  <c r="L244" i="11" s="1"/>
  <c r="F14" i="9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C208" i="11"/>
  <c r="AF3" i="11" s="1"/>
  <c r="J257" i="11"/>
  <c r="K257" i="11" s="1"/>
  <c r="L268" i="11"/>
  <c r="L262" i="11" s="1"/>
  <c r="L261" i="11" s="1"/>
  <c r="L260" i="11" s="1"/>
  <c r="L265" i="11" s="1"/>
  <c r="D267" i="11"/>
  <c r="AH48" i="11" s="1"/>
  <c r="K152" i="11"/>
  <c r="L152" i="11" s="1"/>
  <c r="I147" i="11"/>
  <c r="I146" i="11" s="1"/>
  <c r="I145" i="11" s="1"/>
  <c r="I150" i="11" s="1"/>
  <c r="AD82" i="11"/>
  <c r="Y84" i="11" s="1"/>
  <c r="Z79" i="11"/>
  <c r="Z80" i="11" s="1"/>
  <c r="J65" i="11"/>
  <c r="K65" i="11" s="1"/>
  <c r="L65" i="11" s="1"/>
  <c r="M65" i="11" s="1"/>
  <c r="N65" i="11" s="1"/>
  <c r="O65" i="11" s="1"/>
  <c r="P65" i="11" s="1"/>
  <c r="Q65" i="11" s="1"/>
  <c r="R65" i="11" s="1"/>
  <c r="S65" i="11" s="1"/>
  <c r="T65" i="11" s="1"/>
  <c r="U65" i="11" s="1"/>
  <c r="D65" i="11" s="1"/>
  <c r="AG82" i="11"/>
  <c r="AC85" i="11" s="1"/>
  <c r="AA79" i="11"/>
  <c r="AA80" i="11" s="1"/>
  <c r="AE82" i="11"/>
  <c r="Z85" i="11"/>
  <c r="AB85" i="11"/>
  <c r="C213" i="11"/>
  <c r="AF7" i="11" s="1"/>
  <c r="J103" i="11"/>
  <c r="J108" i="11" s="1"/>
  <c r="O41" i="11"/>
  <c r="N40" i="11"/>
  <c r="N45" i="11" s="1"/>
  <c r="K104" i="11"/>
  <c r="M273" i="11"/>
  <c r="M272" i="11" s="1"/>
  <c r="M271" i="11" s="1"/>
  <c r="M276" i="11" s="1"/>
  <c r="K16" i="4"/>
  <c r="N279" i="11"/>
  <c r="L37" i="4"/>
  <c r="O289" i="11"/>
  <c r="O283" i="11" s="1"/>
  <c r="O282" i="11" s="1"/>
  <c r="O281" i="11" s="1"/>
  <c r="O286" i="11" s="1"/>
  <c r="H19" i="4"/>
  <c r="K11" i="4"/>
  <c r="N174" i="11"/>
  <c r="L34" i="4"/>
  <c r="O226" i="11"/>
  <c r="O220" i="11" s="1"/>
  <c r="O219" i="11" s="1"/>
  <c r="O218" i="11" s="1"/>
  <c r="O223" i="11" s="1"/>
  <c r="K12" i="4"/>
  <c r="N195" i="11"/>
  <c r="N189" i="11" s="1"/>
  <c r="N188" i="11" s="1"/>
  <c r="N187" i="11" s="1"/>
  <c r="N192" i="11" s="1"/>
  <c r="J14" i="4"/>
  <c r="M237" i="11"/>
  <c r="I15" i="4"/>
  <c r="L258" i="11"/>
  <c r="M173" i="11"/>
  <c r="L168" i="11"/>
  <c r="L167" i="11" s="1"/>
  <c r="L166" i="11" s="1"/>
  <c r="L171" i="11" s="1"/>
  <c r="K35" i="4"/>
  <c r="N247" i="11"/>
  <c r="I5" i="4"/>
  <c r="J36" i="4"/>
  <c r="M268" i="11"/>
  <c r="M262" i="11" s="1"/>
  <c r="M261" i="11" s="1"/>
  <c r="M260" i="11" s="1"/>
  <c r="M265" i="11" s="1"/>
  <c r="K9" i="4"/>
  <c r="N132" i="11"/>
  <c r="I31" i="4"/>
  <c r="L163" i="11"/>
  <c r="L157" i="11" s="1"/>
  <c r="L156" i="11" s="1"/>
  <c r="L155" i="11" s="1"/>
  <c r="L160" i="11" s="1"/>
  <c r="H40" i="4"/>
  <c r="H41" i="4" s="1"/>
  <c r="N131" i="11"/>
  <c r="M126" i="11"/>
  <c r="M125" i="11" s="1"/>
  <c r="M124" i="11" s="1"/>
  <c r="M129" i="11" s="1"/>
  <c r="I10" i="4"/>
  <c r="L153" i="11"/>
  <c r="I30" i="4"/>
  <c r="L142" i="11"/>
  <c r="L136" i="11" s="1"/>
  <c r="L135" i="11" s="1"/>
  <c r="L134" i="11" s="1"/>
  <c r="L139" i="11" s="1"/>
  <c r="L32" i="4"/>
  <c r="O184" i="11"/>
  <c r="O178" i="11" s="1"/>
  <c r="O177" i="11" s="1"/>
  <c r="O176" i="11" s="1"/>
  <c r="O181" i="11" s="1"/>
  <c r="K231" i="11"/>
  <c r="K230" i="11" s="1"/>
  <c r="K229" i="11" s="1"/>
  <c r="K234" i="11" s="1"/>
  <c r="K33" i="4"/>
  <c r="N205" i="11"/>
  <c r="N199" i="11" s="1"/>
  <c r="N198" i="11" s="1"/>
  <c r="N197" i="11" s="1"/>
  <c r="N202" i="11" s="1"/>
  <c r="J13" i="4"/>
  <c r="M216" i="11"/>
  <c r="M210" i="11" s="1"/>
  <c r="M209" i="11" s="1"/>
  <c r="M208" i="11" s="1"/>
  <c r="M213" i="11" s="1"/>
  <c r="I26" i="4"/>
  <c r="U26" i="4" s="1"/>
  <c r="M110" i="11"/>
  <c r="L105" i="11"/>
  <c r="K27" i="4"/>
  <c r="J7" i="4"/>
  <c r="M90" i="11"/>
  <c r="M84" i="11" s="1"/>
  <c r="M83" i="11" s="1"/>
  <c r="J28" i="4"/>
  <c r="M100" i="11"/>
  <c r="M94" i="11" s="1"/>
  <c r="M93" i="11" s="1"/>
  <c r="M92" i="11" s="1"/>
  <c r="M97" i="11" s="1"/>
  <c r="L79" i="11"/>
  <c r="L73" i="11" s="1"/>
  <c r="J24" i="4"/>
  <c r="L69" i="11"/>
  <c r="L63" i="11" s="1"/>
  <c r="L62" i="11" s="1"/>
  <c r="L59" i="11" s="1"/>
  <c r="M37" i="11"/>
  <c r="J3" i="4"/>
  <c r="M27" i="11"/>
  <c r="P48" i="11"/>
  <c r="P42" i="11" s="1"/>
  <c r="L72" i="11" l="1"/>
  <c r="L71" i="11" s="1"/>
  <c r="L76" i="11" s="1"/>
  <c r="L70" i="11"/>
  <c r="U5" i="4"/>
  <c r="J252" i="11"/>
  <c r="J251" i="11" s="1"/>
  <c r="J250" i="11" s="1"/>
  <c r="J255" i="11" s="1"/>
  <c r="F42" i="9"/>
  <c r="N236" i="11"/>
  <c r="M246" i="11"/>
  <c r="M241" i="11" s="1"/>
  <c r="M240" i="11" s="1"/>
  <c r="M239" i="11" s="1"/>
  <c r="M244" i="11" s="1"/>
  <c r="F15" i="9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D141" i="11"/>
  <c r="AB48" i="11" s="1"/>
  <c r="K147" i="11"/>
  <c r="K146" i="11" s="1"/>
  <c r="X84" i="11"/>
  <c r="AA85" i="11"/>
  <c r="K103" i="11"/>
  <c r="K108" i="11" s="1"/>
  <c r="L104" i="11"/>
  <c r="P41" i="11"/>
  <c r="O40" i="11"/>
  <c r="O45" i="11" s="1"/>
  <c r="M37" i="4"/>
  <c r="P289" i="11"/>
  <c r="P283" i="11" s="1"/>
  <c r="P282" i="11" s="1"/>
  <c r="P281" i="11" s="1"/>
  <c r="P286" i="11" s="1"/>
  <c r="L16" i="4"/>
  <c r="O279" i="11"/>
  <c r="N273" i="11"/>
  <c r="N272" i="11" s="1"/>
  <c r="N271" i="11" s="1"/>
  <c r="N276" i="11" s="1"/>
  <c r="I19" i="4"/>
  <c r="L231" i="11"/>
  <c r="L230" i="11" s="1"/>
  <c r="L229" i="11" s="1"/>
  <c r="L234" i="11" s="1"/>
  <c r="J10" i="4"/>
  <c r="M153" i="11"/>
  <c r="L33" i="4"/>
  <c r="O205" i="11"/>
  <c r="O199" i="11" s="1"/>
  <c r="O198" i="11" s="1"/>
  <c r="O197" i="11" s="1"/>
  <c r="O202" i="11" s="1"/>
  <c r="J30" i="4"/>
  <c r="M142" i="11"/>
  <c r="M136" i="11" s="1"/>
  <c r="M135" i="11" s="1"/>
  <c r="M134" i="11" s="1"/>
  <c r="M139" i="11" s="1"/>
  <c r="L35" i="4"/>
  <c r="O247" i="11"/>
  <c r="L12" i="4"/>
  <c r="O195" i="11"/>
  <c r="O189" i="11" s="1"/>
  <c r="O188" i="11" s="1"/>
  <c r="O187" i="11" s="1"/>
  <c r="O192" i="11" s="1"/>
  <c r="L147" i="11"/>
  <c r="L146" i="11" s="1"/>
  <c r="M152" i="11"/>
  <c r="L9" i="4"/>
  <c r="O132" i="11"/>
  <c r="J31" i="4"/>
  <c r="M163" i="11"/>
  <c r="M157" i="11" s="1"/>
  <c r="M156" i="11" s="1"/>
  <c r="M155" i="11" s="1"/>
  <c r="M160" i="11" s="1"/>
  <c r="M168" i="11"/>
  <c r="M167" i="11" s="1"/>
  <c r="M166" i="11" s="1"/>
  <c r="M171" i="11" s="1"/>
  <c r="N173" i="11"/>
  <c r="M34" i="4"/>
  <c r="P226" i="11"/>
  <c r="P220" i="11" s="1"/>
  <c r="P219" i="11" s="1"/>
  <c r="P218" i="11" s="1"/>
  <c r="P223" i="11" s="1"/>
  <c r="K14" i="4"/>
  <c r="N237" i="11"/>
  <c r="K13" i="4"/>
  <c r="N216" i="11"/>
  <c r="N210" i="11" s="1"/>
  <c r="N209" i="11" s="1"/>
  <c r="N208" i="11" s="1"/>
  <c r="N213" i="11" s="1"/>
  <c r="M32" i="4"/>
  <c r="P184" i="11"/>
  <c r="P178" i="11" s="1"/>
  <c r="P177" i="11" s="1"/>
  <c r="P176" i="11" s="1"/>
  <c r="P181" i="11" s="1"/>
  <c r="O131" i="11"/>
  <c r="N126" i="11"/>
  <c r="N125" i="11" s="1"/>
  <c r="N124" i="11" s="1"/>
  <c r="N129" i="11" s="1"/>
  <c r="K36" i="4"/>
  <c r="N268" i="11"/>
  <c r="N262" i="11" s="1"/>
  <c r="N261" i="11" s="1"/>
  <c r="N260" i="11" s="1"/>
  <c r="N265" i="11" s="1"/>
  <c r="L257" i="11"/>
  <c r="K252" i="11"/>
  <c r="K251" i="11" s="1"/>
  <c r="K250" i="11" s="1"/>
  <c r="K255" i="11" s="1"/>
  <c r="J15" i="4"/>
  <c r="M258" i="11"/>
  <c r="L11" i="4"/>
  <c r="O174" i="11"/>
  <c r="J26" i="4"/>
  <c r="N121" i="11"/>
  <c r="N115" i="11" s="1"/>
  <c r="N114" i="11" s="1"/>
  <c r="N113" i="11" s="1"/>
  <c r="N118" i="11" s="1"/>
  <c r="J5" i="4"/>
  <c r="N111" i="11"/>
  <c r="N110" i="11"/>
  <c r="M105" i="11"/>
  <c r="L27" i="4"/>
  <c r="I40" i="4"/>
  <c r="I41" i="4" s="1"/>
  <c r="K28" i="4"/>
  <c r="N100" i="11"/>
  <c r="N94" i="11" s="1"/>
  <c r="N93" i="11" s="1"/>
  <c r="N92" i="11" s="1"/>
  <c r="N97" i="11" s="1"/>
  <c r="K7" i="4"/>
  <c r="N90" i="11"/>
  <c r="N84" i="11" s="1"/>
  <c r="N83" i="11" s="1"/>
  <c r="K24" i="4"/>
  <c r="M79" i="11"/>
  <c r="M73" i="11" s="1"/>
  <c r="M69" i="11"/>
  <c r="M63" i="11" s="1"/>
  <c r="M62" i="11" s="1"/>
  <c r="M59" i="11" s="1"/>
  <c r="Q48" i="11"/>
  <c r="Q42" i="11" s="1"/>
  <c r="K3" i="4"/>
  <c r="N27" i="11"/>
  <c r="N37" i="11"/>
  <c r="I45" i="3"/>
  <c r="K45" i="3"/>
  <c r="M45" i="3"/>
  <c r="N45" i="3"/>
  <c r="O45" i="3"/>
  <c r="R45" i="3"/>
  <c r="G45" i="3"/>
  <c r="K44" i="3"/>
  <c r="L44" i="3"/>
  <c r="P44" i="3"/>
  <c r="G25" i="3"/>
  <c r="H25" i="3"/>
  <c r="I25" i="3"/>
  <c r="J25" i="3"/>
  <c r="K25" i="3"/>
  <c r="L25" i="3"/>
  <c r="M25" i="3"/>
  <c r="N25" i="3"/>
  <c r="O25" i="3"/>
  <c r="P25" i="3"/>
  <c r="Q25" i="3"/>
  <c r="R25" i="3"/>
  <c r="G26" i="3"/>
  <c r="H26" i="3"/>
  <c r="J26" i="3"/>
  <c r="K26" i="3"/>
  <c r="L26" i="3"/>
  <c r="M26" i="3"/>
  <c r="N26" i="3"/>
  <c r="O26" i="3"/>
  <c r="P26" i="3"/>
  <c r="Q26" i="3"/>
  <c r="R26" i="3"/>
  <c r="G27" i="3"/>
  <c r="H27" i="3"/>
  <c r="I27" i="3"/>
  <c r="J27" i="3"/>
  <c r="K27" i="3"/>
  <c r="L27" i="3"/>
  <c r="M27" i="3"/>
  <c r="N27" i="3"/>
  <c r="O27" i="3"/>
  <c r="P27" i="3"/>
  <c r="Q27" i="3"/>
  <c r="R27" i="3"/>
  <c r="G28" i="3"/>
  <c r="H28" i="3"/>
  <c r="I28" i="3"/>
  <c r="L28" i="3"/>
  <c r="M28" i="3"/>
  <c r="N28" i="3"/>
  <c r="O28" i="3"/>
  <c r="P28" i="3"/>
  <c r="Q28" i="3"/>
  <c r="G29" i="3"/>
  <c r="H29" i="3"/>
  <c r="I29" i="3"/>
  <c r="K29" i="3"/>
  <c r="L29" i="3"/>
  <c r="M29" i="3"/>
  <c r="N29" i="3"/>
  <c r="O29" i="3"/>
  <c r="P29" i="3"/>
  <c r="G30" i="3"/>
  <c r="H30" i="3"/>
  <c r="I30" i="3"/>
  <c r="J30" i="3"/>
  <c r="K30" i="3"/>
  <c r="L30" i="3"/>
  <c r="M30" i="3"/>
  <c r="N30" i="3"/>
  <c r="O30" i="3"/>
  <c r="P30" i="3"/>
  <c r="R30" i="3"/>
  <c r="G31" i="3"/>
  <c r="H31" i="3"/>
  <c r="I31" i="3"/>
  <c r="K31" i="3"/>
  <c r="L31" i="3"/>
  <c r="M31" i="3"/>
  <c r="N31" i="3"/>
  <c r="O31" i="3"/>
  <c r="P31" i="3"/>
  <c r="R31" i="3"/>
  <c r="G32" i="3"/>
  <c r="H32" i="3"/>
  <c r="I32" i="3"/>
  <c r="K32" i="3"/>
  <c r="L32" i="3"/>
  <c r="M32" i="3"/>
  <c r="N32" i="3"/>
  <c r="O32" i="3"/>
  <c r="P32" i="3"/>
  <c r="R32" i="3"/>
  <c r="G33" i="3"/>
  <c r="J33" i="3"/>
  <c r="K33" i="3"/>
  <c r="L33" i="3"/>
  <c r="M33" i="3"/>
  <c r="N33" i="3"/>
  <c r="O33" i="3"/>
  <c r="P33" i="3"/>
  <c r="Q33" i="3"/>
  <c r="R33" i="3"/>
  <c r="G34" i="3"/>
  <c r="H34" i="3"/>
  <c r="L34" i="3"/>
  <c r="M34" i="3"/>
  <c r="N34" i="3"/>
  <c r="O34" i="3"/>
  <c r="P34" i="3"/>
  <c r="Q34" i="3"/>
  <c r="G35" i="3"/>
  <c r="H35" i="3"/>
  <c r="I35" i="3"/>
  <c r="K35" i="3"/>
  <c r="L35" i="3"/>
  <c r="M35" i="3"/>
  <c r="N35" i="3"/>
  <c r="O35" i="3"/>
  <c r="P35" i="3"/>
  <c r="Q35" i="3"/>
  <c r="I24" i="3"/>
  <c r="K24" i="3"/>
  <c r="R24" i="3"/>
  <c r="M72" i="11" l="1"/>
  <c r="M71" i="11" s="1"/>
  <c r="M76" i="11" s="1"/>
  <c r="M70" i="11"/>
  <c r="S26" i="3"/>
  <c r="S33" i="3"/>
  <c r="S25" i="3"/>
  <c r="S27" i="3"/>
  <c r="G42" i="9"/>
  <c r="H42" i="9" s="1"/>
  <c r="E43" i="10"/>
  <c r="F43" i="9"/>
  <c r="O236" i="11"/>
  <c r="N246" i="11"/>
  <c r="N241" i="11" s="1"/>
  <c r="N240" i="11" s="1"/>
  <c r="N239" i="11" s="1"/>
  <c r="N244" i="11" s="1"/>
  <c r="Q41" i="11"/>
  <c r="M104" i="11"/>
  <c r="P40" i="11"/>
  <c r="P45" i="11" s="1"/>
  <c r="L103" i="11"/>
  <c r="L108" i="11" s="1"/>
  <c r="O273" i="11"/>
  <c r="O272" i="11" s="1"/>
  <c r="O271" i="11" s="1"/>
  <c r="O276" i="11" s="1"/>
  <c r="M16" i="4"/>
  <c r="P279" i="11"/>
  <c r="N37" i="4"/>
  <c r="Q289" i="11"/>
  <c r="Q283" i="11" s="1"/>
  <c r="Q282" i="11" s="1"/>
  <c r="Q281" i="11" s="1"/>
  <c r="Q286" i="11" s="1"/>
  <c r="J19" i="4"/>
  <c r="J40" i="4"/>
  <c r="M11" i="4"/>
  <c r="P174" i="11"/>
  <c r="M147" i="11"/>
  <c r="M146" i="11" s="1"/>
  <c r="N152" i="11"/>
  <c r="O126" i="11"/>
  <c r="O125" i="11" s="1"/>
  <c r="O124" i="11" s="1"/>
  <c r="O129" i="11" s="1"/>
  <c r="P131" i="11"/>
  <c r="N34" i="4"/>
  <c r="Q226" i="11"/>
  <c r="Q220" i="11" s="1"/>
  <c r="Q219" i="11" s="1"/>
  <c r="Q218" i="11" s="1"/>
  <c r="Q223" i="11" s="1"/>
  <c r="M33" i="4"/>
  <c r="P205" i="11"/>
  <c r="P199" i="11" s="1"/>
  <c r="P198" i="11" s="1"/>
  <c r="P197" i="11" s="1"/>
  <c r="P202" i="11" s="1"/>
  <c r="K30" i="4"/>
  <c r="N142" i="11"/>
  <c r="N136" i="11" s="1"/>
  <c r="N135" i="11" s="1"/>
  <c r="N134" i="11" s="1"/>
  <c r="N139" i="11" s="1"/>
  <c r="K15" i="4"/>
  <c r="N258" i="11"/>
  <c r="N168" i="11"/>
  <c r="N167" i="11" s="1"/>
  <c r="N166" i="11" s="1"/>
  <c r="N171" i="11" s="1"/>
  <c r="O173" i="11"/>
  <c r="L36" i="4"/>
  <c r="O268" i="11"/>
  <c r="O262" i="11" s="1"/>
  <c r="O261" i="11" s="1"/>
  <c r="O260" i="11" s="1"/>
  <c r="O265" i="11" s="1"/>
  <c r="N32" i="4"/>
  <c r="Q184" i="11"/>
  <c r="Q178" i="11" s="1"/>
  <c r="Q177" i="11" s="1"/>
  <c r="Q176" i="11" s="1"/>
  <c r="Q181" i="11" s="1"/>
  <c r="M12" i="4"/>
  <c r="P195" i="11"/>
  <c r="P189" i="11" s="1"/>
  <c r="P188" i="11" s="1"/>
  <c r="P187" i="11" s="1"/>
  <c r="P192" i="11" s="1"/>
  <c r="K10" i="4"/>
  <c r="N153" i="11"/>
  <c r="L14" i="4"/>
  <c r="O237" i="11"/>
  <c r="L252" i="11"/>
  <c r="L251" i="11" s="1"/>
  <c r="L250" i="11" s="1"/>
  <c r="L255" i="11" s="1"/>
  <c r="M257" i="11"/>
  <c r="M9" i="4"/>
  <c r="P132" i="11"/>
  <c r="L13" i="4"/>
  <c r="O216" i="11"/>
  <c r="O210" i="11" s="1"/>
  <c r="O209" i="11" s="1"/>
  <c r="O208" i="11" s="1"/>
  <c r="O213" i="11" s="1"/>
  <c r="K31" i="4"/>
  <c r="N163" i="11"/>
  <c r="N157" i="11" s="1"/>
  <c r="N156" i="11" s="1"/>
  <c r="N155" i="11" s="1"/>
  <c r="N160" i="11" s="1"/>
  <c r="M35" i="4"/>
  <c r="P247" i="11"/>
  <c r="M231" i="11"/>
  <c r="M230" i="11" s="1"/>
  <c r="M229" i="11" s="1"/>
  <c r="M234" i="11" s="1"/>
  <c r="O110" i="11"/>
  <c r="N105" i="11"/>
  <c r="K5" i="4"/>
  <c r="O111" i="11"/>
  <c r="K26" i="4"/>
  <c r="O121" i="11"/>
  <c r="O115" i="11" s="1"/>
  <c r="O114" i="11" s="1"/>
  <c r="O113" i="11" s="1"/>
  <c r="O118" i="11" s="1"/>
  <c r="M27" i="4"/>
  <c r="L7" i="4"/>
  <c r="O90" i="11"/>
  <c r="O84" i="11" s="1"/>
  <c r="O83" i="11" s="1"/>
  <c r="L28" i="4"/>
  <c r="O100" i="11"/>
  <c r="O94" i="11" s="1"/>
  <c r="O93" i="11" s="1"/>
  <c r="O92" i="11" s="1"/>
  <c r="O97" i="11" s="1"/>
  <c r="N79" i="11"/>
  <c r="N73" i="11" s="1"/>
  <c r="J41" i="4"/>
  <c r="L24" i="4"/>
  <c r="N69" i="11"/>
  <c r="N63" i="11" s="1"/>
  <c r="N62" i="11" s="1"/>
  <c r="N59" i="11" s="1"/>
  <c r="R48" i="11"/>
  <c r="R42" i="11" s="1"/>
  <c r="L3" i="4"/>
  <c r="O27" i="11"/>
  <c r="O37" i="11"/>
  <c r="N72" i="11" l="1"/>
  <c r="N71" i="11" s="1"/>
  <c r="N76" i="11" s="1"/>
  <c r="N70" i="11"/>
  <c r="F43" i="10"/>
  <c r="G43" i="9"/>
  <c r="H43" i="9" s="1"/>
  <c r="E44" i="10"/>
  <c r="I42" i="9"/>
  <c r="G43" i="10"/>
  <c r="P236" i="11"/>
  <c r="O246" i="11"/>
  <c r="O241" i="11" s="1"/>
  <c r="O240" i="11" s="1"/>
  <c r="O239" i="11" s="1"/>
  <c r="O244" i="11" s="1"/>
  <c r="K40" i="4"/>
  <c r="K41" i="4" s="1"/>
  <c r="R41" i="11"/>
  <c r="M103" i="11"/>
  <c r="M108" i="11" s="1"/>
  <c r="N104" i="11"/>
  <c r="Q40" i="11"/>
  <c r="Q45" i="11" s="1"/>
  <c r="O37" i="4"/>
  <c r="R289" i="11"/>
  <c r="R283" i="11" s="1"/>
  <c r="R282" i="11" s="1"/>
  <c r="R281" i="11" s="1"/>
  <c r="R286" i="11" s="1"/>
  <c r="N16" i="4"/>
  <c r="Q279" i="11"/>
  <c r="P273" i="11"/>
  <c r="P272" i="11" s="1"/>
  <c r="P271" i="11" s="1"/>
  <c r="P276" i="11" s="1"/>
  <c r="O168" i="11"/>
  <c r="O167" i="11" s="1"/>
  <c r="O166" i="11" s="1"/>
  <c r="O171" i="11" s="1"/>
  <c r="P173" i="11"/>
  <c r="N231" i="11"/>
  <c r="N230" i="11" s="1"/>
  <c r="N229" i="11" s="1"/>
  <c r="N234" i="11" s="1"/>
  <c r="P126" i="11"/>
  <c r="P125" i="11" s="1"/>
  <c r="P124" i="11" s="1"/>
  <c r="P129" i="11" s="1"/>
  <c r="Q131" i="11"/>
  <c r="M13" i="4"/>
  <c r="P216" i="11"/>
  <c r="P210" i="11" s="1"/>
  <c r="P209" i="11" s="1"/>
  <c r="P208" i="11" s="1"/>
  <c r="P213" i="11" s="1"/>
  <c r="L10" i="4"/>
  <c r="O153" i="11"/>
  <c r="O34" i="4"/>
  <c r="R226" i="11"/>
  <c r="R220" i="11" s="1"/>
  <c r="R219" i="11" s="1"/>
  <c r="R218" i="11" s="1"/>
  <c r="R223" i="11" s="1"/>
  <c r="K19" i="4"/>
  <c r="N9" i="4"/>
  <c r="Q132" i="11"/>
  <c r="N12" i="4"/>
  <c r="Q195" i="11"/>
  <c r="Q189" i="11" s="1"/>
  <c r="Q188" i="11" s="1"/>
  <c r="Q187" i="11" s="1"/>
  <c r="Q192" i="11" s="1"/>
  <c r="L15" i="4"/>
  <c r="O258" i="11"/>
  <c r="M252" i="11"/>
  <c r="M251" i="11" s="1"/>
  <c r="M250" i="11" s="1"/>
  <c r="M255" i="11" s="1"/>
  <c r="N257" i="11"/>
  <c r="O152" i="11"/>
  <c r="N147" i="11"/>
  <c r="N146" i="11" s="1"/>
  <c r="N35" i="4"/>
  <c r="Q247" i="11"/>
  <c r="O32" i="4"/>
  <c r="R184" i="11"/>
  <c r="R178" i="11" s="1"/>
  <c r="R177" i="11" s="1"/>
  <c r="R176" i="11" s="1"/>
  <c r="R181" i="11" s="1"/>
  <c r="L30" i="4"/>
  <c r="O142" i="11"/>
  <c r="O136" i="11" s="1"/>
  <c r="O135" i="11" s="1"/>
  <c r="O134" i="11" s="1"/>
  <c r="O139" i="11" s="1"/>
  <c r="L31" i="4"/>
  <c r="O163" i="11"/>
  <c r="O157" i="11" s="1"/>
  <c r="O156" i="11" s="1"/>
  <c r="O155" i="11" s="1"/>
  <c r="O160" i="11" s="1"/>
  <c r="M14" i="4"/>
  <c r="P237" i="11"/>
  <c r="M36" i="4"/>
  <c r="P268" i="11"/>
  <c r="P262" i="11" s="1"/>
  <c r="P261" i="11" s="1"/>
  <c r="P260" i="11" s="1"/>
  <c r="P265" i="11" s="1"/>
  <c r="N33" i="4"/>
  <c r="Q205" i="11"/>
  <c r="Q199" i="11" s="1"/>
  <c r="Q198" i="11" s="1"/>
  <c r="Q197" i="11" s="1"/>
  <c r="Q202" i="11" s="1"/>
  <c r="N11" i="4"/>
  <c r="Q174" i="11"/>
  <c r="L5" i="4"/>
  <c r="P111" i="11"/>
  <c r="L26" i="4"/>
  <c r="P121" i="11"/>
  <c r="P115" i="11" s="1"/>
  <c r="P114" i="11" s="1"/>
  <c r="P113" i="11" s="1"/>
  <c r="P118" i="11" s="1"/>
  <c r="P110" i="11"/>
  <c r="O105" i="11"/>
  <c r="N27" i="4"/>
  <c r="M28" i="4"/>
  <c r="P100" i="11"/>
  <c r="P94" i="11" s="1"/>
  <c r="P93" i="11" s="1"/>
  <c r="P92" i="11" s="1"/>
  <c r="P97" i="11" s="1"/>
  <c r="M7" i="4"/>
  <c r="P90" i="11"/>
  <c r="P84" i="11" s="1"/>
  <c r="P83" i="11" s="1"/>
  <c r="M24" i="4"/>
  <c r="O79" i="11"/>
  <c r="O73" i="11" s="1"/>
  <c r="O69" i="11"/>
  <c r="O63" i="11" s="1"/>
  <c r="O62" i="11" s="1"/>
  <c r="O59" i="11" s="1"/>
  <c r="S48" i="11"/>
  <c r="S42" i="11" s="1"/>
  <c r="P37" i="11"/>
  <c r="M3" i="4"/>
  <c r="P27" i="11"/>
  <c r="D22" i="3"/>
  <c r="O72" i="11" l="1"/>
  <c r="O71" i="11" s="1"/>
  <c r="O76" i="11" s="1"/>
  <c r="O70" i="11"/>
  <c r="F44" i="10"/>
  <c r="J42" i="9"/>
  <c r="H43" i="10"/>
  <c r="I43" i="9"/>
  <c r="G44" i="10"/>
  <c r="Q236" i="11"/>
  <c r="P246" i="11"/>
  <c r="P241" i="11" s="1"/>
  <c r="P240" i="11" s="1"/>
  <c r="P239" i="11" s="1"/>
  <c r="P244" i="11" s="1"/>
  <c r="S41" i="11"/>
  <c r="O104" i="11"/>
  <c r="N103" i="11"/>
  <c r="N108" i="11" s="1"/>
  <c r="R40" i="11"/>
  <c r="R45" i="11" s="1"/>
  <c r="Q273" i="11"/>
  <c r="Q272" i="11" s="1"/>
  <c r="Q271" i="11" s="1"/>
  <c r="Q276" i="11" s="1"/>
  <c r="O16" i="4"/>
  <c r="R279" i="11"/>
  <c r="P37" i="4"/>
  <c r="S289" i="11"/>
  <c r="S283" i="11" s="1"/>
  <c r="S282" i="11" s="1"/>
  <c r="S281" i="11" s="1"/>
  <c r="S286" i="11" s="1"/>
  <c r="L19" i="4"/>
  <c r="N13" i="4"/>
  <c r="Q216" i="11"/>
  <c r="Q210" i="11" s="1"/>
  <c r="Q209" i="11" s="1"/>
  <c r="Q208" i="11" s="1"/>
  <c r="Q213" i="11" s="1"/>
  <c r="O11" i="4"/>
  <c r="R174" i="11"/>
  <c r="M31" i="4"/>
  <c r="P163" i="11"/>
  <c r="P157" i="11" s="1"/>
  <c r="P156" i="11" s="1"/>
  <c r="P155" i="11" s="1"/>
  <c r="P160" i="11" s="1"/>
  <c r="O147" i="11"/>
  <c r="O146" i="11" s="1"/>
  <c r="P152" i="11"/>
  <c r="O9" i="4"/>
  <c r="R132" i="11"/>
  <c r="R131" i="11"/>
  <c r="Q126" i="11"/>
  <c r="Q125" i="11" s="1"/>
  <c r="Q124" i="11" s="1"/>
  <c r="Q129" i="11" s="1"/>
  <c r="N252" i="11"/>
  <c r="N251" i="11" s="1"/>
  <c r="N250" i="11" s="1"/>
  <c r="N255" i="11" s="1"/>
  <c r="O257" i="11"/>
  <c r="O33" i="4"/>
  <c r="R205" i="11"/>
  <c r="R199" i="11" s="1"/>
  <c r="R198" i="11" s="1"/>
  <c r="R197" i="11" s="1"/>
  <c r="R202" i="11" s="1"/>
  <c r="M30" i="4"/>
  <c r="P142" i="11"/>
  <c r="P136" i="11" s="1"/>
  <c r="P135" i="11" s="1"/>
  <c r="P134" i="11" s="1"/>
  <c r="P139" i="11" s="1"/>
  <c r="P34" i="4"/>
  <c r="S226" i="11"/>
  <c r="S220" i="11" s="1"/>
  <c r="S219" i="11" s="1"/>
  <c r="S218" i="11" s="1"/>
  <c r="S223" i="11" s="1"/>
  <c r="O231" i="11"/>
  <c r="O230" i="11" s="1"/>
  <c r="O229" i="11" s="1"/>
  <c r="O234" i="11" s="1"/>
  <c r="N14" i="4"/>
  <c r="Q237" i="11"/>
  <c r="O35" i="4"/>
  <c r="R247" i="11"/>
  <c r="O12" i="4"/>
  <c r="R195" i="11"/>
  <c r="R189" i="11" s="1"/>
  <c r="R188" i="11" s="1"/>
  <c r="R187" i="11" s="1"/>
  <c r="R192" i="11" s="1"/>
  <c r="L40" i="4"/>
  <c r="L41" i="4" s="1"/>
  <c r="N36" i="4"/>
  <c r="Q268" i="11"/>
  <c r="Q262" i="11" s="1"/>
  <c r="Q261" i="11" s="1"/>
  <c r="Q260" i="11" s="1"/>
  <c r="Q265" i="11" s="1"/>
  <c r="P32" i="4"/>
  <c r="S184" i="11"/>
  <c r="S178" i="11" s="1"/>
  <c r="S177" i="11" s="1"/>
  <c r="S176" i="11" s="1"/>
  <c r="S181" i="11" s="1"/>
  <c r="M15" i="4"/>
  <c r="P258" i="11"/>
  <c r="Q173" i="11"/>
  <c r="P168" i="11"/>
  <c r="P167" i="11" s="1"/>
  <c r="P166" i="11" s="1"/>
  <c r="P171" i="11" s="1"/>
  <c r="M10" i="4"/>
  <c r="P153" i="11"/>
  <c r="Q110" i="11"/>
  <c r="P105" i="11"/>
  <c r="M5" i="4"/>
  <c r="Q111" i="11"/>
  <c r="M26" i="4"/>
  <c r="Q121" i="11"/>
  <c r="Q115" i="11" s="1"/>
  <c r="Q114" i="11" s="1"/>
  <c r="Q113" i="11" s="1"/>
  <c r="Q118" i="11" s="1"/>
  <c r="O27" i="4"/>
  <c r="N28" i="4"/>
  <c r="Q100" i="11"/>
  <c r="Q94" i="11" s="1"/>
  <c r="Q93" i="11" s="1"/>
  <c r="Q92" i="11" s="1"/>
  <c r="Q97" i="11" s="1"/>
  <c r="N7" i="4"/>
  <c r="Q90" i="11"/>
  <c r="Q84" i="11" s="1"/>
  <c r="Q83" i="11" s="1"/>
  <c r="P79" i="11"/>
  <c r="P73" i="11" s="1"/>
  <c r="N24" i="4"/>
  <c r="P69" i="11"/>
  <c r="P63" i="11" s="1"/>
  <c r="P62" i="11" s="1"/>
  <c r="P59" i="11" s="1"/>
  <c r="T48" i="11"/>
  <c r="T42" i="11" s="1"/>
  <c r="N3" i="4"/>
  <c r="Q27" i="11"/>
  <c r="Q37" i="11"/>
  <c r="P72" i="11" l="1"/>
  <c r="P71" i="11" s="1"/>
  <c r="P76" i="11" s="1"/>
  <c r="P70" i="11"/>
  <c r="J43" i="9"/>
  <c r="H44" i="10"/>
  <c r="K42" i="9"/>
  <c r="I43" i="10"/>
  <c r="R236" i="11"/>
  <c r="Q246" i="11"/>
  <c r="Q241" i="11" s="1"/>
  <c r="Q240" i="11" s="1"/>
  <c r="Q239" i="11" s="1"/>
  <c r="Q244" i="11" s="1"/>
  <c r="P104" i="11"/>
  <c r="T41" i="11"/>
  <c r="O103" i="11"/>
  <c r="O108" i="11" s="1"/>
  <c r="S40" i="11"/>
  <c r="S45" i="11" s="1"/>
  <c r="Q37" i="4"/>
  <c r="T289" i="11"/>
  <c r="T283" i="11" s="1"/>
  <c r="T282" i="11" s="1"/>
  <c r="T281" i="11" s="1"/>
  <c r="T286" i="11" s="1"/>
  <c r="P16" i="4"/>
  <c r="S279" i="11"/>
  <c r="R273" i="11"/>
  <c r="R272" i="11" s="1"/>
  <c r="R271" i="11" s="1"/>
  <c r="R276" i="11" s="1"/>
  <c r="M19" i="4"/>
  <c r="Q152" i="11"/>
  <c r="P147" i="11"/>
  <c r="P146" i="11" s="1"/>
  <c r="O14" i="4"/>
  <c r="R237" i="11"/>
  <c r="P33" i="4"/>
  <c r="S205" i="11"/>
  <c r="S199" i="11" s="1"/>
  <c r="S198" i="11" s="1"/>
  <c r="S197" i="11" s="1"/>
  <c r="S202" i="11" s="1"/>
  <c r="O36" i="4"/>
  <c r="R268" i="11"/>
  <c r="R262" i="11" s="1"/>
  <c r="R261" i="11" s="1"/>
  <c r="R260" i="11" s="1"/>
  <c r="R265" i="11" s="1"/>
  <c r="P257" i="11"/>
  <c r="O252" i="11"/>
  <c r="O251" i="11" s="1"/>
  <c r="O250" i="11" s="1"/>
  <c r="O255" i="11" s="1"/>
  <c r="N10" i="4"/>
  <c r="Q153" i="11"/>
  <c r="P231" i="11"/>
  <c r="P230" i="11" s="1"/>
  <c r="P229" i="11" s="1"/>
  <c r="P234" i="11" s="1"/>
  <c r="N31" i="4"/>
  <c r="Q163" i="11"/>
  <c r="Q157" i="11" s="1"/>
  <c r="Q156" i="11" s="1"/>
  <c r="Q155" i="11" s="1"/>
  <c r="Q160" i="11" s="1"/>
  <c r="Q32" i="4"/>
  <c r="T184" i="11"/>
  <c r="T178" i="11" s="1"/>
  <c r="T177" i="11" s="1"/>
  <c r="T176" i="11" s="1"/>
  <c r="T181" i="11" s="1"/>
  <c r="Q168" i="11"/>
  <c r="Q167" i="11" s="1"/>
  <c r="Q166" i="11" s="1"/>
  <c r="Q171" i="11" s="1"/>
  <c r="R173" i="11"/>
  <c r="P12" i="4"/>
  <c r="S195" i="11"/>
  <c r="S189" i="11" s="1"/>
  <c r="S188" i="11" s="1"/>
  <c r="S187" i="11" s="1"/>
  <c r="S192" i="11" s="1"/>
  <c r="Q34" i="4"/>
  <c r="T226" i="11"/>
  <c r="T220" i="11" s="1"/>
  <c r="T219" i="11" s="1"/>
  <c r="T218" i="11" s="1"/>
  <c r="T223" i="11" s="1"/>
  <c r="R126" i="11"/>
  <c r="R125" i="11" s="1"/>
  <c r="R124" i="11" s="1"/>
  <c r="R129" i="11" s="1"/>
  <c r="S131" i="11"/>
  <c r="P11" i="4"/>
  <c r="S174" i="11"/>
  <c r="N15" i="4"/>
  <c r="Q258" i="11"/>
  <c r="P35" i="4"/>
  <c r="S247" i="11"/>
  <c r="N30" i="4"/>
  <c r="Q142" i="11"/>
  <c r="Q136" i="11" s="1"/>
  <c r="Q135" i="11" s="1"/>
  <c r="Q134" i="11" s="1"/>
  <c r="Q139" i="11" s="1"/>
  <c r="P9" i="4"/>
  <c r="S132" i="11"/>
  <c r="O13" i="4"/>
  <c r="R216" i="11"/>
  <c r="R210" i="11" s="1"/>
  <c r="R209" i="11" s="1"/>
  <c r="R208" i="11" s="1"/>
  <c r="R213" i="11" s="1"/>
  <c r="N26" i="4"/>
  <c r="R121" i="11"/>
  <c r="R115" i="11" s="1"/>
  <c r="R114" i="11" s="1"/>
  <c r="R113" i="11" s="1"/>
  <c r="R118" i="11" s="1"/>
  <c r="N5" i="4"/>
  <c r="R111" i="11"/>
  <c r="R110" i="11"/>
  <c r="Q105" i="11"/>
  <c r="P27" i="4"/>
  <c r="M40" i="4"/>
  <c r="M41" i="4" s="1"/>
  <c r="O7" i="4"/>
  <c r="R90" i="11"/>
  <c r="R84" i="11" s="1"/>
  <c r="R83" i="11" s="1"/>
  <c r="O28" i="4"/>
  <c r="R100" i="11"/>
  <c r="R94" i="11" s="1"/>
  <c r="R93" i="11" s="1"/>
  <c r="R92" i="11" s="1"/>
  <c r="R97" i="11" s="1"/>
  <c r="O24" i="4"/>
  <c r="Q79" i="11"/>
  <c r="Q73" i="11" s="1"/>
  <c r="Q69" i="11"/>
  <c r="Q63" i="11" s="1"/>
  <c r="Q62" i="11" s="1"/>
  <c r="Q59" i="11" s="1"/>
  <c r="U48" i="11"/>
  <c r="R37" i="11"/>
  <c r="O3" i="4"/>
  <c r="R27" i="11"/>
  <c r="Q72" i="11" l="1"/>
  <c r="Q71" i="11" s="1"/>
  <c r="Q76" i="11" s="1"/>
  <c r="Q70" i="11"/>
  <c r="L42" i="9"/>
  <c r="J43" i="10"/>
  <c r="K43" i="9"/>
  <c r="I44" i="10"/>
  <c r="S236" i="11"/>
  <c r="R246" i="11"/>
  <c r="R241" i="11" s="1"/>
  <c r="R240" i="11" s="1"/>
  <c r="R239" i="11" s="1"/>
  <c r="R244" i="11" s="1"/>
  <c r="N19" i="4"/>
  <c r="N40" i="4"/>
  <c r="N41" i="4" s="1"/>
  <c r="U42" i="11"/>
  <c r="U41" i="11" s="1"/>
  <c r="D48" i="11"/>
  <c r="Y19" i="11" s="1"/>
  <c r="Y28" i="11" s="1"/>
  <c r="P103" i="11"/>
  <c r="P108" i="11" s="1"/>
  <c r="Q104" i="11"/>
  <c r="T40" i="11"/>
  <c r="T45" i="11" s="1"/>
  <c r="S273" i="11"/>
  <c r="S272" i="11" s="1"/>
  <c r="S271" i="11" s="1"/>
  <c r="S276" i="11" s="1"/>
  <c r="Q16" i="4"/>
  <c r="T279" i="11"/>
  <c r="U289" i="11"/>
  <c r="U283" i="11" s="1"/>
  <c r="U282" i="11" s="1"/>
  <c r="U281" i="11" s="1"/>
  <c r="U286" i="11" s="1"/>
  <c r="Q35" i="4"/>
  <c r="T247" i="11"/>
  <c r="U226" i="11"/>
  <c r="U220" i="11" s="1"/>
  <c r="U219" i="11" s="1"/>
  <c r="U218" i="11" s="1"/>
  <c r="U223" i="11" s="1"/>
  <c r="O31" i="4"/>
  <c r="R163" i="11"/>
  <c r="R157" i="11" s="1"/>
  <c r="R156" i="11" s="1"/>
  <c r="R155" i="11" s="1"/>
  <c r="R160" i="11" s="1"/>
  <c r="P36" i="4"/>
  <c r="S268" i="11"/>
  <c r="S262" i="11" s="1"/>
  <c r="S261" i="11" s="1"/>
  <c r="S260" i="11" s="1"/>
  <c r="S265" i="11" s="1"/>
  <c r="P13" i="4"/>
  <c r="S216" i="11"/>
  <c r="S210" i="11" s="1"/>
  <c r="S209" i="11" s="1"/>
  <c r="S208" i="11" s="1"/>
  <c r="S213" i="11" s="1"/>
  <c r="O15" i="4"/>
  <c r="R258" i="11"/>
  <c r="Q12" i="4"/>
  <c r="T195" i="11"/>
  <c r="T189" i="11" s="1"/>
  <c r="T188" i="11" s="1"/>
  <c r="T187" i="11" s="1"/>
  <c r="T192" i="11" s="1"/>
  <c r="Q231" i="11"/>
  <c r="Q230" i="11" s="1"/>
  <c r="Q229" i="11" s="1"/>
  <c r="Q234" i="11" s="1"/>
  <c r="Q33" i="4"/>
  <c r="T205" i="11"/>
  <c r="T199" i="11" s="1"/>
  <c r="T198" i="11" s="1"/>
  <c r="T197" i="11" s="1"/>
  <c r="T202" i="11" s="1"/>
  <c r="R168" i="11"/>
  <c r="R167" i="11" s="1"/>
  <c r="R166" i="11" s="1"/>
  <c r="R171" i="11" s="1"/>
  <c r="S173" i="11"/>
  <c r="Q9" i="4"/>
  <c r="T132" i="11"/>
  <c r="Q11" i="4"/>
  <c r="T174" i="11"/>
  <c r="O10" i="4"/>
  <c r="R153" i="11"/>
  <c r="P14" i="4"/>
  <c r="S237" i="11"/>
  <c r="S126" i="11"/>
  <c r="S125" i="11" s="1"/>
  <c r="S124" i="11" s="1"/>
  <c r="S129" i="11" s="1"/>
  <c r="T131" i="11"/>
  <c r="O30" i="4"/>
  <c r="R142" i="11"/>
  <c r="R136" i="11" s="1"/>
  <c r="R135" i="11" s="1"/>
  <c r="R134" i="11" s="1"/>
  <c r="R139" i="11" s="1"/>
  <c r="U184" i="11"/>
  <c r="U178" i="11" s="1"/>
  <c r="U177" i="11" s="1"/>
  <c r="U176" i="11" s="1"/>
  <c r="U181" i="11" s="1"/>
  <c r="P252" i="11"/>
  <c r="P251" i="11" s="1"/>
  <c r="P250" i="11" s="1"/>
  <c r="P255" i="11" s="1"/>
  <c r="Q257" i="11"/>
  <c r="R152" i="11"/>
  <c r="Q147" i="11"/>
  <c r="Q146" i="11" s="1"/>
  <c r="S110" i="11"/>
  <c r="R105" i="11"/>
  <c r="O26" i="4"/>
  <c r="S121" i="11"/>
  <c r="S115" i="11" s="1"/>
  <c r="S114" i="11" s="1"/>
  <c r="S113" i="11" s="1"/>
  <c r="S118" i="11" s="1"/>
  <c r="O5" i="4"/>
  <c r="S111" i="11"/>
  <c r="Q27" i="4"/>
  <c r="P28" i="4"/>
  <c r="S100" i="11"/>
  <c r="S94" i="11" s="1"/>
  <c r="S93" i="11" s="1"/>
  <c r="S92" i="11" s="1"/>
  <c r="S97" i="11" s="1"/>
  <c r="P7" i="4"/>
  <c r="S90" i="11"/>
  <c r="S84" i="11" s="1"/>
  <c r="S83" i="11" s="1"/>
  <c r="R79" i="11"/>
  <c r="R73" i="11" s="1"/>
  <c r="P24" i="4"/>
  <c r="R69" i="11"/>
  <c r="R63" i="11" s="1"/>
  <c r="R62" i="11" s="1"/>
  <c r="R59" i="11" s="1"/>
  <c r="P3" i="4"/>
  <c r="S27" i="11"/>
  <c r="S37" i="11"/>
  <c r="R72" i="11" l="1"/>
  <c r="R71" i="11" s="1"/>
  <c r="R76" i="11" s="1"/>
  <c r="R70" i="11"/>
  <c r="L43" i="9"/>
  <c r="J44" i="10"/>
  <c r="M42" i="9"/>
  <c r="K43" i="10"/>
  <c r="T236" i="11"/>
  <c r="S246" i="11"/>
  <c r="S241" i="11" s="1"/>
  <c r="S240" i="11" s="1"/>
  <c r="S239" i="11" s="1"/>
  <c r="S244" i="11" s="1"/>
  <c r="O19" i="4"/>
  <c r="D42" i="11"/>
  <c r="Y14" i="11" s="1"/>
  <c r="Y23" i="11" s="1"/>
  <c r="D289" i="11"/>
  <c r="AI49" i="11" s="1"/>
  <c r="D226" i="11"/>
  <c r="AF49" i="11" s="1"/>
  <c r="D178" i="11"/>
  <c r="AD44" i="11" s="1"/>
  <c r="D184" i="11"/>
  <c r="AD49" i="11" s="1"/>
  <c r="Q103" i="11"/>
  <c r="Q108" i="11" s="1"/>
  <c r="R104" i="11"/>
  <c r="U279" i="11"/>
  <c r="D279" i="11" s="1"/>
  <c r="AI19" i="11" s="1"/>
  <c r="AI28" i="11" s="1"/>
  <c r="T273" i="11"/>
  <c r="T272" i="11" s="1"/>
  <c r="T271" i="11" s="1"/>
  <c r="T276" i="11" s="1"/>
  <c r="R231" i="11"/>
  <c r="R230" i="11" s="1"/>
  <c r="R229" i="11" s="1"/>
  <c r="R234" i="11" s="1"/>
  <c r="R147" i="11"/>
  <c r="R146" i="11" s="1"/>
  <c r="S152" i="11"/>
  <c r="U132" i="11"/>
  <c r="D132" i="11" s="1"/>
  <c r="AB19" i="11" s="1"/>
  <c r="AB28" i="11" s="1"/>
  <c r="U195" i="11"/>
  <c r="P31" i="4"/>
  <c r="S163" i="11"/>
  <c r="S157" i="11" s="1"/>
  <c r="S156" i="11" s="1"/>
  <c r="S155" i="11" s="1"/>
  <c r="S160" i="11" s="1"/>
  <c r="P30" i="4"/>
  <c r="S142" i="11"/>
  <c r="S136" i="11" s="1"/>
  <c r="S135" i="11" s="1"/>
  <c r="S134" i="11" s="1"/>
  <c r="S139" i="11" s="1"/>
  <c r="Q252" i="11"/>
  <c r="Q251" i="11" s="1"/>
  <c r="Q250" i="11" s="1"/>
  <c r="Q255" i="11" s="1"/>
  <c r="R257" i="11"/>
  <c r="U174" i="11"/>
  <c r="D174" i="11" s="1"/>
  <c r="AD19" i="11" s="1"/>
  <c r="Q36" i="4"/>
  <c r="T268" i="11"/>
  <c r="T262" i="11" s="1"/>
  <c r="T261" i="11" s="1"/>
  <c r="T260" i="11" s="1"/>
  <c r="T265" i="11" s="1"/>
  <c r="T126" i="11"/>
  <c r="T125" i="11" s="1"/>
  <c r="T124" i="11" s="1"/>
  <c r="T129" i="11" s="1"/>
  <c r="U131" i="11"/>
  <c r="T173" i="11"/>
  <c r="S168" i="11"/>
  <c r="S167" i="11" s="1"/>
  <c r="S166" i="11" s="1"/>
  <c r="S171" i="11" s="1"/>
  <c r="Q14" i="4"/>
  <c r="T237" i="11"/>
  <c r="P15" i="4"/>
  <c r="S258" i="11"/>
  <c r="P10" i="4"/>
  <c r="S153" i="11"/>
  <c r="U205" i="11"/>
  <c r="U199" i="11" s="1"/>
  <c r="U198" i="11" s="1"/>
  <c r="U197" i="11" s="1"/>
  <c r="U202" i="11" s="1"/>
  <c r="Q13" i="4"/>
  <c r="T216" i="11"/>
  <c r="T210" i="11" s="1"/>
  <c r="T209" i="11" s="1"/>
  <c r="T208" i="11" s="1"/>
  <c r="T213" i="11" s="1"/>
  <c r="U247" i="11"/>
  <c r="P5" i="4"/>
  <c r="T111" i="11"/>
  <c r="P26" i="4"/>
  <c r="T121" i="11"/>
  <c r="T115" i="11" s="1"/>
  <c r="T114" i="11" s="1"/>
  <c r="T113" i="11" s="1"/>
  <c r="T118" i="11" s="1"/>
  <c r="T110" i="11"/>
  <c r="S105" i="11"/>
  <c r="O40" i="4"/>
  <c r="O41" i="4" s="1"/>
  <c r="Q7" i="4"/>
  <c r="T90" i="11"/>
  <c r="T84" i="11" s="1"/>
  <c r="T83" i="11" s="1"/>
  <c r="Q28" i="4"/>
  <c r="T100" i="11"/>
  <c r="T94" i="11" s="1"/>
  <c r="T93" i="11" s="1"/>
  <c r="T92" i="11" s="1"/>
  <c r="T97" i="11" s="1"/>
  <c r="Q24" i="4"/>
  <c r="S79" i="11"/>
  <c r="S73" i="11" s="1"/>
  <c r="S69" i="11"/>
  <c r="S63" i="11" s="1"/>
  <c r="S62" i="11" s="1"/>
  <c r="S59" i="11" s="1"/>
  <c r="T37" i="11"/>
  <c r="Q3" i="4"/>
  <c r="T27" i="11"/>
  <c r="U40" i="11"/>
  <c r="D41" i="11"/>
  <c r="Y13" i="11" s="1"/>
  <c r="Y22" i="11" s="1"/>
  <c r="S72" i="11" l="1"/>
  <c r="S71" i="11" s="1"/>
  <c r="S76" i="11" s="1"/>
  <c r="S70" i="11"/>
  <c r="N42" i="9"/>
  <c r="L43" i="10"/>
  <c r="M43" i="9"/>
  <c r="K44" i="10"/>
  <c r="U236" i="11"/>
  <c r="U246" i="11" s="1"/>
  <c r="U241" i="11" s="1"/>
  <c r="U240" i="11" s="1"/>
  <c r="U239" i="11" s="1"/>
  <c r="U244" i="11" s="1"/>
  <c r="T246" i="11"/>
  <c r="T241" i="11" s="1"/>
  <c r="T240" i="11" s="1"/>
  <c r="T239" i="11" s="1"/>
  <c r="T244" i="11" s="1"/>
  <c r="D220" i="11"/>
  <c r="AF44" i="11" s="1"/>
  <c r="P19" i="4"/>
  <c r="D181" i="11"/>
  <c r="AD46" i="11" s="1"/>
  <c r="D247" i="11"/>
  <c r="AG49" i="11" s="1"/>
  <c r="D199" i="11"/>
  <c r="AE44" i="11" s="1"/>
  <c r="D205" i="11"/>
  <c r="AE49" i="11" s="1"/>
  <c r="U189" i="11"/>
  <c r="U188" i="11" s="1"/>
  <c r="D195" i="11"/>
  <c r="AE19" i="11" s="1"/>
  <c r="AE28" i="11" s="1"/>
  <c r="R103" i="11"/>
  <c r="R108" i="11" s="1"/>
  <c r="S104" i="11"/>
  <c r="U273" i="11"/>
  <c r="D278" i="11"/>
  <c r="AI18" i="11" s="1"/>
  <c r="AI27" i="11" s="1"/>
  <c r="P40" i="4"/>
  <c r="P41" i="4" s="1"/>
  <c r="Q10" i="4"/>
  <c r="T153" i="11"/>
  <c r="D219" i="11"/>
  <c r="AF43" i="11" s="1"/>
  <c r="D223" i="11"/>
  <c r="AF46" i="11" s="1"/>
  <c r="U126" i="11"/>
  <c r="D131" i="11"/>
  <c r="AB18" i="11" s="1"/>
  <c r="AB27" i="11" s="1"/>
  <c r="R252" i="11"/>
  <c r="R251" i="11" s="1"/>
  <c r="R250" i="11" s="1"/>
  <c r="R255" i="11" s="1"/>
  <c r="S257" i="11"/>
  <c r="T152" i="11"/>
  <c r="S147" i="11"/>
  <c r="S146" i="11" s="1"/>
  <c r="U216" i="11"/>
  <c r="Q15" i="4"/>
  <c r="T258" i="11"/>
  <c r="U268" i="11"/>
  <c r="U262" i="11" s="1"/>
  <c r="U261" i="11" s="1"/>
  <c r="U260" i="11" s="1"/>
  <c r="U265" i="11" s="1"/>
  <c r="Q30" i="4"/>
  <c r="T142" i="11"/>
  <c r="T136" i="11" s="1"/>
  <c r="T135" i="11" s="1"/>
  <c r="T134" i="11" s="1"/>
  <c r="T139" i="11" s="1"/>
  <c r="T168" i="11"/>
  <c r="T167" i="11" s="1"/>
  <c r="T166" i="11" s="1"/>
  <c r="T171" i="11" s="1"/>
  <c r="U173" i="11"/>
  <c r="S231" i="11"/>
  <c r="S230" i="11" s="1"/>
  <c r="S229" i="11" s="1"/>
  <c r="S234" i="11" s="1"/>
  <c r="U237" i="11"/>
  <c r="D237" i="11" s="1"/>
  <c r="AG19" i="11" s="1"/>
  <c r="AG28" i="11" s="1"/>
  <c r="Q31" i="4"/>
  <c r="T163" i="11"/>
  <c r="T157" i="11" s="1"/>
  <c r="T156" i="11" s="1"/>
  <c r="T155" i="11" s="1"/>
  <c r="T160" i="11" s="1"/>
  <c r="U110" i="11"/>
  <c r="T105" i="11"/>
  <c r="Q26" i="4"/>
  <c r="U121" i="11"/>
  <c r="Q5" i="4"/>
  <c r="U111" i="11"/>
  <c r="D111" i="11" s="1"/>
  <c r="U100" i="11"/>
  <c r="U94" i="11" s="1"/>
  <c r="U93" i="11" s="1"/>
  <c r="U92" i="11" s="1"/>
  <c r="U97" i="11" s="1"/>
  <c r="U90" i="11"/>
  <c r="D89" i="11"/>
  <c r="AA18" i="11" s="1"/>
  <c r="AA27" i="11" s="1"/>
  <c r="T79" i="11"/>
  <c r="T73" i="11" s="1"/>
  <c r="T69" i="11"/>
  <c r="T63" i="11" s="1"/>
  <c r="T62" i="11" s="1"/>
  <c r="T59" i="11" s="1"/>
  <c r="U45" i="11"/>
  <c r="D40" i="11"/>
  <c r="Y12" i="11" s="1"/>
  <c r="Y21" i="11" s="1"/>
  <c r="U37" i="11"/>
  <c r="D37" i="11" s="1"/>
  <c r="X49" i="11" s="1"/>
  <c r="U27" i="11"/>
  <c r="D27" i="11" s="1"/>
  <c r="X19" i="11" s="1"/>
  <c r="X28" i="11" s="1"/>
  <c r="T72" i="11" l="1"/>
  <c r="T71" i="11" s="1"/>
  <c r="T76" i="11" s="1"/>
  <c r="T70" i="11"/>
  <c r="N43" i="9"/>
  <c r="L44" i="10"/>
  <c r="O42" i="9"/>
  <c r="M43" i="10"/>
  <c r="D121" i="11"/>
  <c r="U115" i="11"/>
  <c r="U114" i="11" s="1"/>
  <c r="U113" i="11" s="1"/>
  <c r="U118" i="11" s="1"/>
  <c r="D288" i="11"/>
  <c r="AI48" i="11" s="1"/>
  <c r="D177" i="11"/>
  <c r="AD43" i="11" s="1"/>
  <c r="D198" i="11"/>
  <c r="AE43" i="11" s="1"/>
  <c r="D189" i="11"/>
  <c r="AE14" i="11" s="1"/>
  <c r="AE23" i="11" s="1"/>
  <c r="AE22" i="11" s="1"/>
  <c r="D262" i="11"/>
  <c r="AH44" i="11" s="1"/>
  <c r="D268" i="11"/>
  <c r="AH49" i="11" s="1"/>
  <c r="U84" i="11"/>
  <c r="U83" i="11" s="1"/>
  <c r="D90" i="11"/>
  <c r="AA19" i="11" s="1"/>
  <c r="AA28" i="11" s="1"/>
  <c r="D100" i="11"/>
  <c r="AA49" i="11" s="1"/>
  <c r="U210" i="11"/>
  <c r="U209" i="11" s="1"/>
  <c r="D216" i="11"/>
  <c r="AF19" i="11" s="1"/>
  <c r="AF28" i="11" s="1"/>
  <c r="D176" i="11"/>
  <c r="AD42" i="11" s="1"/>
  <c r="D218" i="11"/>
  <c r="AF42" i="11" s="1"/>
  <c r="D45" i="11"/>
  <c r="Y16" i="11" s="1"/>
  <c r="Y25" i="11" s="1"/>
  <c r="T104" i="11"/>
  <c r="S103" i="11"/>
  <c r="S108" i="11" s="1"/>
  <c r="Q40" i="4"/>
  <c r="Q41" i="4" s="1"/>
  <c r="Q19" i="4"/>
  <c r="U272" i="11"/>
  <c r="D273" i="11"/>
  <c r="AI14" i="11" s="1"/>
  <c r="AI23" i="11" s="1"/>
  <c r="T231" i="11"/>
  <c r="T230" i="11" s="1"/>
  <c r="T229" i="11" s="1"/>
  <c r="T234" i="11" s="1"/>
  <c r="U258" i="11"/>
  <c r="D258" i="11" s="1"/>
  <c r="AH19" i="11" s="1"/>
  <c r="AH28" i="11" s="1"/>
  <c r="U125" i="11"/>
  <c r="D126" i="11"/>
  <c r="AB14" i="11" s="1"/>
  <c r="AB23" i="11" s="1"/>
  <c r="T257" i="11"/>
  <c r="S252" i="11"/>
  <c r="S251" i="11" s="1"/>
  <c r="S250" i="11" s="1"/>
  <c r="S255" i="11" s="1"/>
  <c r="D173" i="11"/>
  <c r="AD18" i="11" s="1"/>
  <c r="U168" i="11"/>
  <c r="U163" i="11"/>
  <c r="U157" i="11" s="1"/>
  <c r="U156" i="11" s="1"/>
  <c r="U155" i="11" s="1"/>
  <c r="U160" i="11" s="1"/>
  <c r="U153" i="11"/>
  <c r="D153" i="11" s="1"/>
  <c r="AC19" i="11" s="1"/>
  <c r="AC28" i="11" s="1"/>
  <c r="U142" i="11"/>
  <c r="U136" i="11" s="1"/>
  <c r="U135" i="11" s="1"/>
  <c r="U134" i="11" s="1"/>
  <c r="U139" i="11" s="1"/>
  <c r="U152" i="11"/>
  <c r="T147" i="11"/>
  <c r="T146" i="11" s="1"/>
  <c r="D188" i="11"/>
  <c r="AE13" i="11" s="1"/>
  <c r="U187" i="11"/>
  <c r="D110" i="11"/>
  <c r="U105" i="11"/>
  <c r="U79" i="11"/>
  <c r="U73" i="11" s="1"/>
  <c r="U69" i="11"/>
  <c r="U72" i="11" l="1"/>
  <c r="U71" i="11" s="1"/>
  <c r="U76" i="11" s="1"/>
  <c r="U70" i="11"/>
  <c r="P42" i="9"/>
  <c r="N43" i="10"/>
  <c r="O43" i="9"/>
  <c r="M44" i="10"/>
  <c r="D202" i="11"/>
  <c r="AE46" i="11" s="1"/>
  <c r="D246" i="11"/>
  <c r="AG48" i="11" s="1"/>
  <c r="D283" i="11"/>
  <c r="AI44" i="11" s="1"/>
  <c r="D84" i="11"/>
  <c r="AA14" i="11" s="1"/>
  <c r="AA23" i="11" s="1"/>
  <c r="D94" i="11"/>
  <c r="AA44" i="11" s="1"/>
  <c r="D210" i="11"/>
  <c r="AF14" i="11" s="1"/>
  <c r="AF23" i="11" s="1"/>
  <c r="AF22" i="11" s="1"/>
  <c r="D142" i="11"/>
  <c r="AB49" i="11" s="1"/>
  <c r="D157" i="11"/>
  <c r="AC44" i="11" s="1"/>
  <c r="D163" i="11"/>
  <c r="AC49" i="11" s="1"/>
  <c r="D265" i="11"/>
  <c r="AH46" i="11" s="1"/>
  <c r="U63" i="11"/>
  <c r="D63" i="11" s="1"/>
  <c r="Z14" i="11" s="1"/>
  <c r="Z23" i="11" s="1"/>
  <c r="D69" i="11"/>
  <c r="Z19" i="11" s="1"/>
  <c r="D73" i="11"/>
  <c r="Z44" i="11" s="1"/>
  <c r="D79" i="11"/>
  <c r="Z49" i="11" s="1"/>
  <c r="T103" i="11"/>
  <c r="T108" i="11" s="1"/>
  <c r="D272" i="11"/>
  <c r="AI13" i="11" s="1"/>
  <c r="AI22" i="11" s="1"/>
  <c r="U271" i="11"/>
  <c r="D152" i="11"/>
  <c r="AC18" i="11" s="1"/>
  <c r="AC27" i="11" s="1"/>
  <c r="U147" i="11"/>
  <c r="D187" i="11"/>
  <c r="AE12" i="11" s="1"/>
  <c r="U192" i="11"/>
  <c r="D192" i="11" s="1"/>
  <c r="AE16" i="11" s="1"/>
  <c r="AE25" i="11" s="1"/>
  <c r="D209" i="11"/>
  <c r="AF13" i="11" s="1"/>
  <c r="U208" i="11"/>
  <c r="U231" i="11"/>
  <c r="D236" i="11"/>
  <c r="AG18" i="11" s="1"/>
  <c r="AG27" i="11" s="1"/>
  <c r="U257" i="11"/>
  <c r="T252" i="11"/>
  <c r="T251" i="11" s="1"/>
  <c r="T250" i="11" s="1"/>
  <c r="T255" i="11" s="1"/>
  <c r="U124" i="11"/>
  <c r="D125" i="11"/>
  <c r="AB13" i="11" s="1"/>
  <c r="AB22" i="11" s="1"/>
  <c r="U167" i="11"/>
  <c r="D168" i="11"/>
  <c r="AD14" i="11" s="1"/>
  <c r="D105" i="11"/>
  <c r="U104" i="11"/>
  <c r="D93" i="11"/>
  <c r="AA43" i="11" s="1"/>
  <c r="D83" i="11"/>
  <c r="AA13" i="11" s="1"/>
  <c r="AA22" i="11" s="1"/>
  <c r="AJ49" i="11" l="1"/>
  <c r="P43" i="9"/>
  <c r="N44" i="10"/>
  <c r="Q42" i="9"/>
  <c r="P43" i="10" s="1"/>
  <c r="O43" i="10"/>
  <c r="AJ19" i="11"/>
  <c r="Z28" i="11"/>
  <c r="AJ28" i="11" s="1"/>
  <c r="D197" i="11"/>
  <c r="AE42" i="11" s="1"/>
  <c r="D286" i="11"/>
  <c r="AI46" i="11" s="1"/>
  <c r="D282" i="11"/>
  <c r="AI43" i="11" s="1"/>
  <c r="D241" i="11"/>
  <c r="AG44" i="11" s="1"/>
  <c r="D160" i="11"/>
  <c r="AC46" i="11" s="1"/>
  <c r="D136" i="11"/>
  <c r="AB44" i="11" s="1"/>
  <c r="D261" i="11"/>
  <c r="AH43" i="11" s="1"/>
  <c r="U62" i="11"/>
  <c r="U59" i="11" s="1"/>
  <c r="D72" i="11"/>
  <c r="Z43" i="11" s="1"/>
  <c r="D260" i="11"/>
  <c r="AH42" i="11" s="1"/>
  <c r="D271" i="11"/>
  <c r="AI12" i="11" s="1"/>
  <c r="AI21" i="11" s="1"/>
  <c r="U276" i="11"/>
  <c r="D276" i="11" s="1"/>
  <c r="AI16" i="11" s="1"/>
  <c r="AI25" i="11" s="1"/>
  <c r="D208" i="11"/>
  <c r="AF12" i="11" s="1"/>
  <c r="U213" i="11"/>
  <c r="D213" i="11" s="1"/>
  <c r="AF16" i="11" s="1"/>
  <c r="AF25" i="11" s="1"/>
  <c r="D135" i="11"/>
  <c r="AB43" i="11" s="1"/>
  <c r="U166" i="11"/>
  <c r="D167" i="11"/>
  <c r="AD13" i="11" s="1"/>
  <c r="D257" i="11"/>
  <c r="AH18" i="11" s="1"/>
  <c r="AH27" i="11" s="1"/>
  <c r="U252" i="11"/>
  <c r="U146" i="11"/>
  <c r="D147" i="11"/>
  <c r="AC14" i="11" s="1"/>
  <c r="AC23" i="11" s="1"/>
  <c r="AC22" i="11" s="1"/>
  <c r="AC21" i="11" s="1"/>
  <c r="AC25" i="11" s="1"/>
  <c r="D124" i="11"/>
  <c r="AB12" i="11" s="1"/>
  <c r="AB21" i="11" s="1"/>
  <c r="U129" i="11"/>
  <c r="D129" i="11" s="1"/>
  <c r="AB16" i="11" s="1"/>
  <c r="AB25" i="11" s="1"/>
  <c r="D231" i="11"/>
  <c r="AG14" i="11" s="1"/>
  <c r="AG23" i="11" s="1"/>
  <c r="U230" i="11"/>
  <c r="D104" i="11"/>
  <c r="U103" i="11"/>
  <c r="C71" i="10"/>
  <c r="D70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43" i="9" l="1"/>
  <c r="P44" i="10" s="1"/>
  <c r="O44" i="10"/>
  <c r="D281" i="11"/>
  <c r="AI42" i="11" s="1"/>
  <c r="D244" i="11"/>
  <c r="AG46" i="11" s="1"/>
  <c r="D240" i="11"/>
  <c r="AG43" i="11" s="1"/>
  <c r="D156" i="11"/>
  <c r="AC43" i="11" s="1"/>
  <c r="D62" i="11"/>
  <c r="Z13" i="11" s="1"/>
  <c r="Z22" i="11" s="1"/>
  <c r="D155" i="11"/>
  <c r="AC42" i="11" s="1"/>
  <c r="D146" i="11"/>
  <c r="AC13" i="11" s="1"/>
  <c r="D252" i="11"/>
  <c r="AH14" i="11" s="1"/>
  <c r="AH23" i="11" s="1"/>
  <c r="U251" i="11"/>
  <c r="D230" i="11"/>
  <c r="AG13" i="11" s="1"/>
  <c r="AG22" i="11" s="1"/>
  <c r="U229" i="11"/>
  <c r="D166" i="11"/>
  <c r="AD12" i="11" s="1"/>
  <c r="U171" i="11"/>
  <c r="D171" i="11" s="1"/>
  <c r="AD16" i="11" s="1"/>
  <c r="U108" i="11"/>
  <c r="D108" i="11" s="1"/>
  <c r="D103" i="11"/>
  <c r="E108" i="10"/>
  <c r="C76" i="10"/>
  <c r="C70" i="10"/>
  <c r="D71" i="10"/>
  <c r="D74" i="10" s="1"/>
  <c r="D239" i="11" l="1"/>
  <c r="AG42" i="11" s="1"/>
  <c r="U250" i="11"/>
  <c r="D251" i="11"/>
  <c r="AH13" i="11" s="1"/>
  <c r="AH22" i="11" s="1"/>
  <c r="D229" i="11"/>
  <c r="AG12" i="11" s="1"/>
  <c r="AG21" i="11" s="1"/>
  <c r="U234" i="11"/>
  <c r="D234" i="11" s="1"/>
  <c r="AG16" i="11" s="1"/>
  <c r="AG25" i="11" s="1"/>
  <c r="C74" i="10"/>
  <c r="C73" i="10"/>
  <c r="D73" i="10"/>
  <c r="D250" i="11" l="1"/>
  <c r="U255" i="11"/>
  <c r="D255" i="11" s="1"/>
  <c r="AH16" i="11" s="1"/>
  <c r="AH25" i="11" s="1"/>
  <c r="D111" i="10"/>
  <c r="E107" i="10"/>
  <c r="AH12" i="11" l="1"/>
  <c r="AH21" i="11" s="1"/>
  <c r="D108" i="10" l="1"/>
  <c r="D107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D60" i="10"/>
  <c r="D110" i="10" l="1"/>
  <c r="D75" i="10"/>
  <c r="D76" i="10" l="1"/>
  <c r="E76" i="10" l="1"/>
  <c r="F76" i="10" l="1"/>
  <c r="C29" i="11"/>
  <c r="X33" i="11" s="1"/>
  <c r="G76" i="10" l="1"/>
  <c r="F36" i="11"/>
  <c r="C21" i="11"/>
  <c r="X5" i="11" s="1"/>
  <c r="AJ5" i="11" s="1"/>
  <c r="AJ9" i="11" s="1"/>
  <c r="G26" i="11"/>
  <c r="I26" i="11" s="1"/>
  <c r="C30" i="11"/>
  <c r="X34" i="11" s="1"/>
  <c r="AJ34" i="11" s="1"/>
  <c r="E36" i="11"/>
  <c r="E26" i="11"/>
  <c r="C20" i="11"/>
  <c r="X4" i="11" s="1"/>
  <c r="AJ4" i="11" s="1"/>
  <c r="C31" i="11"/>
  <c r="X35" i="11" s="1"/>
  <c r="AJ35" i="11" s="1"/>
  <c r="AJ39" i="11" s="1"/>
  <c r="G36" i="11"/>
  <c r="F26" i="11"/>
  <c r="C22" i="11"/>
  <c r="X6" i="11" s="1"/>
  <c r="AJ6" i="11" s="1"/>
  <c r="C32" i="11"/>
  <c r="X36" i="11" s="1"/>
  <c r="AJ36" i="11" s="1"/>
  <c r="C34" i="11"/>
  <c r="X37" i="11" s="1"/>
  <c r="G35" i="11"/>
  <c r="F35" i="11"/>
  <c r="I35" i="11" s="1"/>
  <c r="J35" i="11" s="1"/>
  <c r="K35" i="11" s="1"/>
  <c r="L35" i="11" s="1"/>
  <c r="M35" i="11" s="1"/>
  <c r="N35" i="11" s="1"/>
  <c r="O35" i="11" s="1"/>
  <c r="P35" i="11" s="1"/>
  <c r="Q35" i="11" s="1"/>
  <c r="R35" i="11" s="1"/>
  <c r="S35" i="11" s="1"/>
  <c r="T35" i="11" s="1"/>
  <c r="E35" i="11"/>
  <c r="AP119" i="2" l="1"/>
  <c r="AP120" i="2"/>
  <c r="AS119" i="2"/>
  <c r="AS123" i="2"/>
  <c r="AP123" i="2"/>
  <c r="AS122" i="2"/>
  <c r="AS120" i="2"/>
  <c r="AP122" i="2"/>
  <c r="AP118" i="2"/>
  <c r="AP45" i="2"/>
  <c r="AP46" i="2"/>
  <c r="C36" i="11"/>
  <c r="X39" i="11" s="1"/>
  <c r="I36" i="11"/>
  <c r="J36" i="11" s="1"/>
  <c r="K36" i="11" s="1"/>
  <c r="L36" i="11" s="1"/>
  <c r="M36" i="11" s="1"/>
  <c r="N36" i="11" s="1"/>
  <c r="O36" i="11" s="1"/>
  <c r="P36" i="11" s="1"/>
  <c r="Q36" i="11" s="1"/>
  <c r="R36" i="11" s="1"/>
  <c r="S36" i="11" s="1"/>
  <c r="T36" i="11" s="1"/>
  <c r="U36" i="11" s="1"/>
  <c r="C35" i="11"/>
  <c r="X38" i="11" s="1"/>
  <c r="C63" i="10"/>
  <c r="C25" i="10" s="1"/>
  <c r="C26" i="11"/>
  <c r="X9" i="11" s="1"/>
  <c r="H76" i="10"/>
  <c r="J22" i="11"/>
  <c r="J6" i="11" s="1"/>
  <c r="J32" i="11"/>
  <c r="J12" i="11" s="1"/>
  <c r="AP50" i="2" l="1"/>
  <c r="AS125" i="2"/>
  <c r="AP47" i="2"/>
  <c r="AP125" i="2"/>
  <c r="J145" i="11"/>
  <c r="J150" i="11" s="1"/>
  <c r="J26" i="11"/>
  <c r="K26" i="11" s="1"/>
  <c r="L26" i="11" s="1"/>
  <c r="M26" i="11" s="1"/>
  <c r="N26" i="11" s="1"/>
  <c r="O26" i="11" s="1"/>
  <c r="P26" i="11" s="1"/>
  <c r="Q26" i="11" s="1"/>
  <c r="R26" i="11" s="1"/>
  <c r="S26" i="11" s="1"/>
  <c r="T26" i="11" s="1"/>
  <c r="U26" i="11" s="1"/>
  <c r="U21" i="11" s="1"/>
  <c r="K22" i="11"/>
  <c r="K6" i="11" s="1"/>
  <c r="I76" i="10"/>
  <c r="K32" i="11"/>
  <c r="K12" i="11" s="1"/>
  <c r="U5" i="11" l="1"/>
  <c r="AP126" i="2"/>
  <c r="AP127" i="2" s="1"/>
  <c r="AP51" i="2"/>
  <c r="AP52" i="2" s="1"/>
  <c r="AS126" i="2"/>
  <c r="AS127" i="2" s="1"/>
  <c r="K145" i="11"/>
  <c r="K150" i="11" s="1"/>
  <c r="L22" i="11"/>
  <c r="L6" i="11" s="1"/>
  <c r="C28" i="10"/>
  <c r="J76" i="10"/>
  <c r="L32" i="11"/>
  <c r="L12" i="11" s="1"/>
  <c r="D5" i="11" l="1"/>
  <c r="L145" i="11"/>
  <c r="L150" i="11" s="1"/>
  <c r="M22" i="11"/>
  <c r="M6" i="11" s="1"/>
  <c r="K76" i="10"/>
  <c r="M32" i="11"/>
  <c r="M12" i="11" s="1"/>
  <c r="M145" i="11" l="1"/>
  <c r="M150" i="11" s="1"/>
  <c r="N22" i="11"/>
  <c r="N6" i="11" s="1"/>
  <c r="L76" i="10"/>
  <c r="N32" i="11"/>
  <c r="N12" i="11" s="1"/>
  <c r="N145" i="11" l="1"/>
  <c r="N150" i="11" s="1"/>
  <c r="O22" i="11"/>
  <c r="O6" i="11" s="1"/>
  <c r="M76" i="10"/>
  <c r="O32" i="11"/>
  <c r="O12" i="11" s="1"/>
  <c r="O145" i="11" l="1"/>
  <c r="O150" i="11" s="1"/>
  <c r="P22" i="11"/>
  <c r="P6" i="11" s="1"/>
  <c r="N76" i="10"/>
  <c r="P32" i="11"/>
  <c r="P12" i="11" s="1"/>
  <c r="P145" i="11" l="1"/>
  <c r="P150" i="11" s="1"/>
  <c r="Q22" i="11"/>
  <c r="Q6" i="11" s="1"/>
  <c r="O76" i="10"/>
  <c r="Q32" i="11"/>
  <c r="Q12" i="11" s="1"/>
  <c r="Q145" i="11" l="1"/>
  <c r="Q150" i="11" s="1"/>
  <c r="R22" i="11"/>
  <c r="R6" i="11" s="1"/>
  <c r="P76" i="10"/>
  <c r="R32" i="11"/>
  <c r="R12" i="11" s="1"/>
  <c r="R145" i="11" l="1"/>
  <c r="R150" i="11" s="1"/>
  <c r="S22" i="11"/>
  <c r="S6" i="11" s="1"/>
  <c r="S32" i="11"/>
  <c r="S12" i="11" s="1"/>
  <c r="S145" i="11" l="1"/>
  <c r="S150" i="11" s="1"/>
  <c r="T22" i="11"/>
  <c r="T6" i="11" s="1"/>
  <c r="T32" i="11"/>
  <c r="T12" i="11" s="1"/>
  <c r="D36" i="11"/>
  <c r="X48" i="11" s="1"/>
  <c r="T145" i="11" l="1"/>
  <c r="T150" i="11" s="1"/>
  <c r="U22" i="11"/>
  <c r="U6" i="11" s="1"/>
  <c r="U32" i="11"/>
  <c r="U12" i="11" l="1"/>
  <c r="D12" i="11" s="1"/>
  <c r="D35" i="11"/>
  <c r="X47" i="11" s="1"/>
  <c r="U145" i="11"/>
  <c r="D6" i="11"/>
  <c r="D22" i="11"/>
  <c r="X15" i="11" s="1"/>
  <c r="U20" i="11"/>
  <c r="D26" i="11"/>
  <c r="X18" i="11" s="1"/>
  <c r="X27" i="11" s="1"/>
  <c r="AJ15" i="11" l="1"/>
  <c r="X24" i="11"/>
  <c r="AJ24" i="11" s="1"/>
  <c r="U4" i="11"/>
  <c r="P63" i="10" s="1"/>
  <c r="U150" i="11"/>
  <c r="D150" i="11" s="1"/>
  <c r="AC16" i="11" s="1"/>
  <c r="D145" i="11"/>
  <c r="AC12" i="11" s="1"/>
  <c r="D32" i="11"/>
  <c r="X45" i="11" s="1"/>
  <c r="AJ45" i="11" s="1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D121" i="10"/>
  <c r="D4" i="11" l="1"/>
  <c r="R28" i="3" l="1"/>
  <c r="R34" i="3"/>
  <c r="J35" i="3"/>
  <c r="J29" i="3"/>
  <c r="O44" i="3" l="1"/>
  <c r="N24" i="3"/>
  <c r="N36" i="3" s="1"/>
  <c r="N44" i="3"/>
  <c r="N46" i="3" s="1"/>
  <c r="J34" i="3"/>
  <c r="H44" i="3"/>
  <c r="K34" i="3" l="1"/>
  <c r="S34" i="3" s="1"/>
  <c r="K46" i="3"/>
  <c r="K28" i="3"/>
  <c r="S28" i="3" s="1"/>
  <c r="J28" i="3"/>
  <c r="Q29" i="3" l="1"/>
  <c r="Q44" i="3"/>
  <c r="K36" i="3"/>
  <c r="P45" i="3"/>
  <c r="Q24" i="3"/>
  <c r="Q45" i="3"/>
  <c r="R29" i="3"/>
  <c r="R44" i="3"/>
  <c r="S29" i="3" l="1"/>
  <c r="M24" i="3"/>
  <c r="M36" i="3" s="1"/>
  <c r="M44" i="3"/>
  <c r="I33" i="3"/>
  <c r="I44" i="3"/>
  <c r="H33" i="3"/>
  <c r="M46" i="3" l="1"/>
  <c r="S44" i="3"/>
  <c r="C61" i="10"/>
  <c r="C79" i="10" s="1"/>
  <c r="C62" i="10" l="1"/>
  <c r="C80" i="10" s="1"/>
  <c r="C77" i="10" s="1"/>
  <c r="C78" i="10" s="1"/>
  <c r="D62" i="10"/>
  <c r="I31" i="11" l="1"/>
  <c r="I11" i="11" s="1"/>
  <c r="E62" i="10"/>
  <c r="D61" i="10"/>
  <c r="I21" i="11" l="1"/>
  <c r="I30" i="11"/>
  <c r="F62" i="10"/>
  <c r="I29" i="11" l="1"/>
  <c r="I10" i="11"/>
  <c r="F20" i="4"/>
  <c r="E61" i="10" s="1"/>
  <c r="I20" i="11"/>
  <c r="J21" i="11"/>
  <c r="J5" i="11" s="1"/>
  <c r="J31" i="11"/>
  <c r="J11" i="11" s="1"/>
  <c r="G62" i="10"/>
  <c r="D10" i="10" l="1"/>
  <c r="D64" i="10"/>
  <c r="D67" i="10" s="1"/>
  <c r="D69" i="10" s="1"/>
  <c r="I34" i="11"/>
  <c r="I15" i="11" s="1"/>
  <c r="D11" i="10" s="1"/>
  <c r="I9" i="11"/>
  <c r="G20" i="4"/>
  <c r="F61" i="10" s="1"/>
  <c r="E79" i="10"/>
  <c r="J20" i="11"/>
  <c r="K21" i="11"/>
  <c r="K5" i="11" s="1"/>
  <c r="J30" i="11"/>
  <c r="K31" i="11"/>
  <c r="K11" i="11" s="1"/>
  <c r="H62" i="10"/>
  <c r="J4" i="11" l="1"/>
  <c r="E63" i="10" s="1"/>
  <c r="D68" i="10"/>
  <c r="F15" i="16"/>
  <c r="F14" i="16" s="1"/>
  <c r="D29" i="10"/>
  <c r="D95" i="10"/>
  <c r="D66" i="10"/>
  <c r="J29" i="11"/>
  <c r="J10" i="11"/>
  <c r="E10" i="10" s="1"/>
  <c r="H20" i="4"/>
  <c r="G61" i="10" s="1"/>
  <c r="K20" i="11"/>
  <c r="F79" i="10"/>
  <c r="L21" i="11"/>
  <c r="L5" i="11" s="1"/>
  <c r="K30" i="11"/>
  <c r="L31" i="11"/>
  <c r="L11" i="11" s="1"/>
  <c r="I62" i="10"/>
  <c r="K4" i="11" l="1"/>
  <c r="F63" i="10" s="1"/>
  <c r="I17" i="16"/>
  <c r="F9" i="16"/>
  <c r="E64" i="10"/>
  <c r="E67" i="10" s="1"/>
  <c r="E69" i="10" s="1"/>
  <c r="K29" i="11"/>
  <c r="K10" i="11"/>
  <c r="F10" i="10" s="1"/>
  <c r="J34" i="11"/>
  <c r="J15" i="11" s="1"/>
  <c r="E11" i="10" s="1"/>
  <c r="E29" i="10" s="1"/>
  <c r="P3" i="17" s="1"/>
  <c r="J9" i="11"/>
  <c r="I20" i="4"/>
  <c r="H61" i="10" s="1"/>
  <c r="L20" i="11"/>
  <c r="G79" i="10"/>
  <c r="M21" i="11"/>
  <c r="M5" i="11" s="1"/>
  <c r="L30" i="11"/>
  <c r="M31" i="11"/>
  <c r="M11" i="11" s="1"/>
  <c r="J62" i="10"/>
  <c r="L4" i="11" l="1"/>
  <c r="G63" i="10" s="1"/>
  <c r="E66" i="10"/>
  <c r="F64" i="10"/>
  <c r="F67" i="10" s="1"/>
  <c r="F69" i="10" s="1"/>
  <c r="L29" i="11"/>
  <c r="L10" i="11"/>
  <c r="G10" i="10" s="1"/>
  <c r="K34" i="11"/>
  <c r="K15" i="11" s="1"/>
  <c r="F11" i="10" s="1"/>
  <c r="F29" i="10" s="1"/>
  <c r="Q3" i="17" s="1"/>
  <c r="K9" i="11"/>
  <c r="J20" i="4"/>
  <c r="I61" i="10" s="1"/>
  <c r="M20" i="11"/>
  <c r="H79" i="10"/>
  <c r="N21" i="11"/>
  <c r="N5" i="11" s="1"/>
  <c r="M30" i="11"/>
  <c r="N31" i="11"/>
  <c r="N11" i="11" s="1"/>
  <c r="K62" i="10"/>
  <c r="M4" i="11" l="1"/>
  <c r="H63" i="10" s="1"/>
  <c r="F66" i="10"/>
  <c r="G64" i="10"/>
  <c r="G67" i="10" s="1"/>
  <c r="G69" i="10" s="1"/>
  <c r="M29" i="11"/>
  <c r="M10" i="11"/>
  <c r="H10" i="10" s="1"/>
  <c r="L34" i="11"/>
  <c r="L15" i="11" s="1"/>
  <c r="G11" i="10" s="1"/>
  <c r="G29" i="10" s="1"/>
  <c r="R3" i="17" s="1"/>
  <c r="L9" i="11"/>
  <c r="K20" i="4"/>
  <c r="J61" i="10" s="1"/>
  <c r="I79" i="10"/>
  <c r="N20" i="11"/>
  <c r="O21" i="11"/>
  <c r="O5" i="11" s="1"/>
  <c r="N30" i="11"/>
  <c r="O31" i="11"/>
  <c r="O11" i="11" s="1"/>
  <c r="L62" i="10"/>
  <c r="N4" i="11" l="1"/>
  <c r="I63" i="10" s="1"/>
  <c r="G66" i="10"/>
  <c r="H64" i="10"/>
  <c r="H67" i="10" s="1"/>
  <c r="H69" i="10" s="1"/>
  <c r="N29" i="11"/>
  <c r="N10" i="11"/>
  <c r="I10" i="10" s="1"/>
  <c r="M34" i="11"/>
  <c r="M15" i="11" s="1"/>
  <c r="H11" i="10" s="1"/>
  <c r="H29" i="10" s="1"/>
  <c r="S3" i="17" s="1"/>
  <c r="M9" i="11"/>
  <c r="L20" i="4"/>
  <c r="K61" i="10" s="1"/>
  <c r="O20" i="11"/>
  <c r="J79" i="10"/>
  <c r="P21" i="11"/>
  <c r="P5" i="11" s="1"/>
  <c r="O30" i="11"/>
  <c r="P31" i="11"/>
  <c r="P11" i="11" s="1"/>
  <c r="M62" i="10"/>
  <c r="O4" i="11" l="1"/>
  <c r="J63" i="10" s="1"/>
  <c r="I64" i="10"/>
  <c r="I67" i="10" s="1"/>
  <c r="I69" i="10" s="1"/>
  <c r="H66" i="10"/>
  <c r="O29" i="11"/>
  <c r="O10" i="11"/>
  <c r="J10" i="10" s="1"/>
  <c r="N34" i="11"/>
  <c r="N15" i="11" s="1"/>
  <c r="I11" i="10" s="1"/>
  <c r="I29" i="10" s="1"/>
  <c r="T3" i="17" s="1"/>
  <c r="N9" i="11"/>
  <c r="M20" i="4"/>
  <c r="L61" i="10" s="1"/>
  <c r="P20" i="11"/>
  <c r="K79" i="10"/>
  <c r="Q21" i="11"/>
  <c r="Q5" i="11" s="1"/>
  <c r="P30" i="11"/>
  <c r="Q31" i="11"/>
  <c r="Q11" i="11" s="1"/>
  <c r="N62" i="10"/>
  <c r="P4" i="11" l="1"/>
  <c r="K63" i="10" s="1"/>
  <c r="I66" i="10"/>
  <c r="J64" i="10"/>
  <c r="J67" i="10" s="1"/>
  <c r="J69" i="10" s="1"/>
  <c r="P29" i="11"/>
  <c r="P10" i="11"/>
  <c r="K10" i="10" s="1"/>
  <c r="O34" i="11"/>
  <c r="O15" i="11" s="1"/>
  <c r="J11" i="10" s="1"/>
  <c r="J29" i="10" s="1"/>
  <c r="U3" i="17" s="1"/>
  <c r="O9" i="11"/>
  <c r="N20" i="4"/>
  <c r="M61" i="10" s="1"/>
  <c r="Q20" i="11"/>
  <c r="L79" i="10"/>
  <c r="Q20" i="4"/>
  <c r="U31" i="11"/>
  <c r="U11" i="11" s="1"/>
  <c r="R21" i="11"/>
  <c r="R5" i="11" s="1"/>
  <c r="Q30" i="11"/>
  <c r="R31" i="11"/>
  <c r="R11" i="11" s="1"/>
  <c r="O62" i="10"/>
  <c r="Q4" i="11" l="1"/>
  <c r="L63" i="10" s="1"/>
  <c r="J66" i="10"/>
  <c r="K64" i="10"/>
  <c r="K67" i="10" s="1"/>
  <c r="K69" i="10" s="1"/>
  <c r="Q29" i="11"/>
  <c r="Q10" i="11"/>
  <c r="L10" i="10" s="1"/>
  <c r="P34" i="11"/>
  <c r="P15" i="11" s="1"/>
  <c r="K11" i="10" s="1"/>
  <c r="K29" i="10" s="1"/>
  <c r="V3" i="17" s="1"/>
  <c r="P9" i="11"/>
  <c r="O20" i="4"/>
  <c r="N61" i="10" s="1"/>
  <c r="U30" i="11"/>
  <c r="R20" i="11"/>
  <c r="M79" i="10"/>
  <c r="S21" i="11"/>
  <c r="S5" i="11" s="1"/>
  <c r="R30" i="11"/>
  <c r="S31" i="11"/>
  <c r="S11" i="11" s="1"/>
  <c r="P62" i="10"/>
  <c r="P80" i="10" s="1"/>
  <c r="R4" i="11" l="1"/>
  <c r="M63" i="10" s="1"/>
  <c r="K66" i="10"/>
  <c r="L64" i="10"/>
  <c r="L67" i="10" s="1"/>
  <c r="L69" i="10" s="1"/>
  <c r="U29" i="11"/>
  <c r="U10" i="11"/>
  <c r="P10" i="10" s="1"/>
  <c r="R29" i="11"/>
  <c r="R10" i="11"/>
  <c r="M10" i="10" s="1"/>
  <c r="Q34" i="11"/>
  <c r="Q15" i="11" s="1"/>
  <c r="L11" i="10" s="1"/>
  <c r="L29" i="10" s="1"/>
  <c r="W3" i="17" s="1"/>
  <c r="Q9" i="11"/>
  <c r="P20" i="4"/>
  <c r="O61" i="10" s="1"/>
  <c r="S20" i="11"/>
  <c r="N79" i="10"/>
  <c r="T21" i="11"/>
  <c r="T5" i="11" s="1"/>
  <c r="S30" i="11"/>
  <c r="T31" i="11"/>
  <c r="T11" i="11" s="1"/>
  <c r="P61" i="10"/>
  <c r="P79" i="10" s="1"/>
  <c r="S4" i="11" l="1"/>
  <c r="N63" i="10" s="1"/>
  <c r="L66" i="10"/>
  <c r="M64" i="10"/>
  <c r="M67" i="10" s="1"/>
  <c r="M69" i="10" s="1"/>
  <c r="P64" i="10"/>
  <c r="P67" i="10" s="1"/>
  <c r="P66" i="10" s="1"/>
  <c r="S29" i="11"/>
  <c r="S10" i="11"/>
  <c r="N10" i="10" s="1"/>
  <c r="R34" i="11"/>
  <c r="R15" i="11" s="1"/>
  <c r="M11" i="10" s="1"/>
  <c r="M29" i="10" s="1"/>
  <c r="X3" i="17" s="1"/>
  <c r="R9" i="11"/>
  <c r="U34" i="11"/>
  <c r="U15" i="11" s="1"/>
  <c r="P11" i="10" s="1"/>
  <c r="P29" i="10" s="1"/>
  <c r="AA3" i="17" s="1"/>
  <c r="U9" i="11"/>
  <c r="T20" i="11"/>
  <c r="O79" i="10"/>
  <c r="T30" i="11"/>
  <c r="T4" i="11" l="1"/>
  <c r="O63" i="10" s="1"/>
  <c r="M66" i="10"/>
  <c r="N64" i="10"/>
  <c r="N67" i="10" s="1"/>
  <c r="N69" i="10" s="1"/>
  <c r="T29" i="11"/>
  <c r="T10" i="11"/>
  <c r="O10" i="10" s="1"/>
  <c r="S34" i="11"/>
  <c r="S15" i="11" s="1"/>
  <c r="N11" i="10" s="1"/>
  <c r="N29" i="10" s="1"/>
  <c r="Y3" i="17" s="1"/>
  <c r="S9" i="11"/>
  <c r="N66" i="10" l="1"/>
  <c r="O64" i="10"/>
  <c r="O67" i="10" s="1"/>
  <c r="O69" i="10" s="1"/>
  <c r="P69" i="10" s="1"/>
  <c r="T34" i="11"/>
  <c r="T15" i="11" s="1"/>
  <c r="O11" i="10" s="1"/>
  <c r="O29" i="10" s="1"/>
  <c r="Z3" i="17" s="1"/>
  <c r="T9" i="11"/>
  <c r="D31" i="11"/>
  <c r="X44" i="11" s="1"/>
  <c r="AJ44" i="11" s="1"/>
  <c r="AJ48" i="11" s="1"/>
  <c r="D21" i="11"/>
  <c r="X14" i="11" s="1"/>
  <c r="O66" i="10" l="1"/>
  <c r="AJ14" i="11"/>
  <c r="AJ18" i="11" s="1"/>
  <c r="X23" i="11"/>
  <c r="AJ23" i="11" s="1"/>
  <c r="AJ27" i="11" s="1"/>
  <c r="D30" i="11"/>
  <c r="X43" i="11" s="1"/>
  <c r="AJ43" i="11" s="1"/>
  <c r="D20" i="11"/>
  <c r="X13" i="11" s="1"/>
  <c r="AJ13" i="11" l="1"/>
  <c r="X22" i="11"/>
  <c r="AJ22" i="11" s="1"/>
  <c r="D14" i="3"/>
  <c r="C15" i="3"/>
  <c r="Q31" i="3" l="1"/>
  <c r="S31" i="3" s="1"/>
  <c r="Q32" i="3"/>
  <c r="S32" i="3" s="1"/>
  <c r="R35" i="3"/>
  <c r="R46" i="3"/>
  <c r="Q30" i="3"/>
  <c r="S30" i="3" s="1"/>
  <c r="Q46" i="3"/>
  <c r="H18" i="3"/>
  <c r="J32" i="3"/>
  <c r="K10" i="3"/>
  <c r="H24" i="3"/>
  <c r="H36" i="3" s="1"/>
  <c r="K15" i="3"/>
  <c r="K17" i="3"/>
  <c r="K11" i="3"/>
  <c r="K14" i="3"/>
  <c r="K9" i="3"/>
  <c r="P7" i="3"/>
  <c r="P11" i="3"/>
  <c r="P9" i="3"/>
  <c r="P15" i="3"/>
  <c r="P16" i="3"/>
  <c r="P12" i="3"/>
  <c r="P10" i="3"/>
  <c r="P8" i="3"/>
  <c r="K13" i="3"/>
  <c r="P17" i="3"/>
  <c r="K12" i="3"/>
  <c r="M18" i="3"/>
  <c r="D20" i="3"/>
  <c r="R36" i="3" l="1"/>
  <c r="S35" i="3"/>
  <c r="P130" i="10"/>
  <c r="P131" i="10" s="1"/>
  <c r="J44" i="3"/>
  <c r="Q36" i="3"/>
  <c r="J24" i="3"/>
  <c r="L24" i="3"/>
  <c r="L45" i="3"/>
  <c r="H45" i="3"/>
  <c r="H46" i="3" s="1"/>
  <c r="J31" i="3"/>
  <c r="I34" i="3"/>
  <c r="B15" i="3"/>
  <c r="D15" i="3" s="1"/>
  <c r="D13" i="3"/>
  <c r="C27" i="3"/>
  <c r="P13" i="3"/>
  <c r="Q13" i="3" s="1"/>
  <c r="B27" i="3"/>
  <c r="K6" i="3"/>
  <c r="C23" i="3"/>
  <c r="D18" i="3"/>
  <c r="K16" i="3"/>
  <c r="Q16" i="3" s="1"/>
  <c r="P14" i="3"/>
  <c r="Q14" i="3" s="1"/>
  <c r="D26" i="3"/>
  <c r="J18" i="3"/>
  <c r="D21" i="3"/>
  <c r="Q17" i="3"/>
  <c r="I18" i="3"/>
  <c r="V6" i="3" s="1"/>
  <c r="K8" i="3"/>
  <c r="Q8" i="3" s="1"/>
  <c r="Q9" i="3"/>
  <c r="Q11" i="3"/>
  <c r="C11" i="3"/>
  <c r="C16" i="3" s="1"/>
  <c r="Q10" i="3"/>
  <c r="Q12" i="3"/>
  <c r="D7" i="3"/>
  <c r="Q15" i="3"/>
  <c r="K7" i="3"/>
  <c r="Q7" i="3" s="1"/>
  <c r="L18" i="3"/>
  <c r="O18" i="3"/>
  <c r="N18" i="3"/>
  <c r="W6" i="3" s="1"/>
  <c r="G18" i="3"/>
  <c r="B11" i="3"/>
  <c r="B23" i="3"/>
  <c r="D25" i="3"/>
  <c r="L36" i="3" l="1"/>
  <c r="L46" i="3"/>
  <c r="S45" i="3"/>
  <c r="S46" i="3" s="1"/>
  <c r="P18" i="3"/>
  <c r="J45" i="3"/>
  <c r="J46" i="3" s="1"/>
  <c r="I26" i="3"/>
  <c r="I36" i="3" s="1"/>
  <c r="I46" i="3"/>
  <c r="G24" i="3"/>
  <c r="G36" i="3" s="1"/>
  <c r="G44" i="3"/>
  <c r="G46" i="3" s="1"/>
  <c r="J36" i="3"/>
  <c r="P24" i="3"/>
  <c r="P36" i="3" s="1"/>
  <c r="O24" i="3"/>
  <c r="O36" i="3" s="1"/>
  <c r="P46" i="3"/>
  <c r="O46" i="3"/>
  <c r="B16" i="3"/>
  <c r="D16" i="3" s="1"/>
  <c r="C28" i="3"/>
  <c r="D27" i="3"/>
  <c r="B28" i="3"/>
  <c r="C29" i="3"/>
  <c r="K18" i="3"/>
  <c r="Q6" i="3"/>
  <c r="Q18" i="3" s="1"/>
  <c r="V37" i="3" s="1"/>
  <c r="D23" i="3"/>
  <c r="D11" i="3"/>
  <c r="B29" i="3"/>
  <c r="S24" i="3" l="1"/>
  <c r="S36" i="3" s="1"/>
  <c r="B41" i="9"/>
  <c r="B13" i="9"/>
  <c r="B4" i="9"/>
  <c r="P19" i="3"/>
  <c r="B5" i="9"/>
  <c r="F130" i="10"/>
  <c r="F131" i="10" s="1"/>
  <c r="J37" i="3"/>
  <c r="J47" i="3"/>
  <c r="E46" i="3"/>
  <c r="R47" i="3"/>
  <c r="R37" i="3"/>
  <c r="E36" i="3"/>
  <c r="G130" i="10"/>
  <c r="G131" i="10" s="1"/>
  <c r="O130" i="10"/>
  <c r="O131" i="10" s="1"/>
  <c r="N130" i="10"/>
  <c r="N131" i="10" s="1"/>
  <c r="D28" i="3"/>
  <c r="E28" i="3" s="1"/>
  <c r="D29" i="3"/>
  <c r="B40" i="9" l="1"/>
  <c r="E130" i="10"/>
  <c r="E131" i="10" s="1"/>
  <c r="K130" i="10"/>
  <c r="K131" i="10" s="1"/>
  <c r="L130" i="10"/>
  <c r="L131" i="10" s="1"/>
  <c r="J130" i="10"/>
  <c r="J131" i="10" s="1"/>
  <c r="H130" i="10"/>
  <c r="H131" i="10" s="1"/>
  <c r="M130" i="10"/>
  <c r="M131" i="10" s="1"/>
  <c r="B6" i="9"/>
  <c r="B8" i="9" s="1"/>
  <c r="B7" i="9" s="1"/>
  <c r="B12" i="9" l="1"/>
  <c r="I130" i="10"/>
  <c r="I131" i="10" s="1"/>
  <c r="B16" i="9" l="1"/>
  <c r="B15" i="9"/>
  <c r="B14" i="9" s="1"/>
  <c r="C23" i="11"/>
  <c r="E24" i="11" l="1"/>
  <c r="E25" i="11" l="1"/>
  <c r="J23" i="11"/>
  <c r="J7" i="11" l="1"/>
  <c r="K23" i="11"/>
  <c r="K7" i="11" l="1"/>
  <c r="L23" i="11"/>
  <c r="L7" i="11" l="1"/>
  <c r="M23" i="11"/>
  <c r="M7" i="11" l="1"/>
  <c r="N23" i="11"/>
  <c r="N7" i="11" l="1"/>
  <c r="O23" i="11"/>
  <c r="O7" i="11" l="1"/>
  <c r="P23" i="11"/>
  <c r="P7" i="11" l="1"/>
  <c r="Q23" i="11"/>
  <c r="Q7" i="11" l="1"/>
  <c r="R23" i="11"/>
  <c r="R7" i="11" l="1"/>
  <c r="S23" i="11"/>
  <c r="S7" i="11" l="1"/>
  <c r="T23" i="11"/>
  <c r="T7" i="11" l="1"/>
  <c r="U23" i="11"/>
  <c r="U7" i="11" l="1"/>
  <c r="D7" i="11" s="1"/>
  <c r="D23" i="11"/>
  <c r="D80" i="10" l="1"/>
  <c r="E80" i="10"/>
  <c r="F80" i="10" l="1"/>
  <c r="G80" i="10" l="1"/>
  <c r="H80" i="10" l="1"/>
  <c r="I80" i="10" l="1"/>
  <c r="J80" i="10" l="1"/>
  <c r="K80" i="10" l="1"/>
  <c r="L80" i="10" l="1"/>
  <c r="M80" i="10" l="1"/>
  <c r="D11" i="11" l="1"/>
  <c r="N80" i="10"/>
  <c r="D115" i="11" l="1"/>
  <c r="O80" i="10"/>
  <c r="D10" i="11" l="1"/>
  <c r="D114" i="11"/>
  <c r="D118" i="11" l="1"/>
  <c r="D113" i="11" l="1"/>
  <c r="E103" i="11" l="1"/>
  <c r="F77" i="11"/>
  <c r="E108" i="11" l="1"/>
  <c r="E3" i="11"/>
  <c r="E8" i="11" s="1"/>
  <c r="X80" i="11"/>
  <c r="AB79" i="11"/>
  <c r="AC79" i="11"/>
  <c r="AD75" i="11" l="1"/>
  <c r="AE79" i="11"/>
  <c r="AC80" i="11"/>
  <c r="AD79" i="11"/>
  <c r="AB80" i="11"/>
  <c r="AE75" i="11"/>
  <c r="AD80" i="11" l="1"/>
  <c r="F88" i="11" s="1"/>
  <c r="AE80" i="11"/>
  <c r="F67" i="11" l="1"/>
  <c r="F61" i="11" s="1"/>
  <c r="G67" i="11"/>
  <c r="I67" i="11" s="1"/>
  <c r="J67" i="11" s="1"/>
  <c r="G88" i="11"/>
  <c r="F82" i="11"/>
  <c r="K67" i="11" l="1"/>
  <c r="J61" i="11"/>
  <c r="J66" i="11" s="1"/>
  <c r="G82" i="11"/>
  <c r="I88" i="11"/>
  <c r="J88" i="11" s="1"/>
  <c r="F66" i="11"/>
  <c r="F19" i="11"/>
  <c r="F3" i="11" s="1"/>
  <c r="F8" i="11" s="1"/>
  <c r="G61" i="11"/>
  <c r="C67" i="11"/>
  <c r="Z8" i="11" s="1"/>
  <c r="I82" i="11" l="1"/>
  <c r="I87" i="11" s="1"/>
  <c r="K88" i="11"/>
  <c r="J82" i="11"/>
  <c r="J87" i="11" s="1"/>
  <c r="L67" i="11"/>
  <c r="K61" i="11"/>
  <c r="K66" i="11" s="1"/>
  <c r="G19" i="11"/>
  <c r="G3" i="11" s="1"/>
  <c r="G8" i="11" s="1"/>
  <c r="I63" i="11"/>
  <c r="I5" i="11" s="1"/>
  <c r="AF75" i="11"/>
  <c r="F24" i="11"/>
  <c r="C61" i="11"/>
  <c r="Z3" i="11" s="1"/>
  <c r="G66" i="11"/>
  <c r="C66" i="11" s="1"/>
  <c r="Z7" i="11" s="1"/>
  <c r="M67" i="11" l="1"/>
  <c r="L61" i="11"/>
  <c r="L66" i="11" s="1"/>
  <c r="L88" i="11"/>
  <c r="K82" i="11"/>
  <c r="K87" i="11" s="1"/>
  <c r="C3" i="11"/>
  <c r="C19" i="11"/>
  <c r="X3" i="11" s="1"/>
  <c r="G24" i="11"/>
  <c r="G25" i="11" s="1"/>
  <c r="I62" i="11"/>
  <c r="D79" i="10"/>
  <c r="D77" i="10" s="1"/>
  <c r="D78" i="10" s="1"/>
  <c r="AG75" i="11"/>
  <c r="C8" i="11"/>
  <c r="F25" i="11"/>
  <c r="C82" i="11"/>
  <c r="AA3" i="11" s="1"/>
  <c r="F87" i="11"/>
  <c r="G87" i="11"/>
  <c r="C88" i="11" s="1"/>
  <c r="AA8" i="11" s="1"/>
  <c r="I4" i="11" l="1"/>
  <c r="D63" i="10" s="1"/>
  <c r="I59" i="11"/>
  <c r="C25" i="11"/>
  <c r="X8" i="11" s="1"/>
  <c r="I25" i="11"/>
  <c r="J25" i="11" s="1"/>
  <c r="M88" i="11"/>
  <c r="L82" i="11"/>
  <c r="L87" i="11" s="1"/>
  <c r="N67" i="11"/>
  <c r="M61" i="11"/>
  <c r="M66" i="11" s="1"/>
  <c r="AJ3" i="11"/>
  <c r="C24" i="11"/>
  <c r="X7" i="11" s="1"/>
  <c r="I61" i="11"/>
  <c r="I66" i="11" s="1"/>
  <c r="C87" i="11"/>
  <c r="AA7" i="11" s="1"/>
  <c r="I19" i="11" l="1"/>
  <c r="I3" i="11" s="1"/>
  <c r="I3" i="16" s="1"/>
  <c r="F4" i="16" s="1"/>
  <c r="O67" i="11"/>
  <c r="N61" i="11"/>
  <c r="N66" i="11" s="1"/>
  <c r="N88" i="11"/>
  <c r="M82" i="11"/>
  <c r="M87" i="11" s="1"/>
  <c r="K25" i="11"/>
  <c r="J19" i="11"/>
  <c r="J3" i="11" s="1"/>
  <c r="AJ7" i="11"/>
  <c r="AJ8" i="11" s="1"/>
  <c r="D94" i="10"/>
  <c r="D96" i="10" s="1"/>
  <c r="C92" i="11"/>
  <c r="AA33" i="11" s="1"/>
  <c r="C71" i="11"/>
  <c r="Z33" i="11" s="1"/>
  <c r="C76" i="11"/>
  <c r="Z37" i="11" s="1"/>
  <c r="F98" i="11"/>
  <c r="C97" i="11"/>
  <c r="AA37" i="11" s="1"/>
  <c r="I24" i="11" l="1"/>
  <c r="I304" i="11" s="1"/>
  <c r="D100" i="10"/>
  <c r="E50" i="10"/>
  <c r="L25" i="11"/>
  <c r="K19" i="11"/>
  <c r="K3" i="11" s="1"/>
  <c r="O88" i="11"/>
  <c r="N82" i="11"/>
  <c r="N87" i="11" s="1"/>
  <c r="J24" i="11"/>
  <c r="J304" i="11" s="1"/>
  <c r="P67" i="11"/>
  <c r="O61" i="11"/>
  <c r="O66" i="11" s="1"/>
  <c r="D119" i="10"/>
  <c r="G98" i="11"/>
  <c r="G77" i="11"/>
  <c r="J8" i="11" l="1"/>
  <c r="I8" i="11"/>
  <c r="K24" i="11"/>
  <c r="K304" i="11" s="1"/>
  <c r="P88" i="11"/>
  <c r="O82" i="11"/>
  <c r="O87" i="11" s="1"/>
  <c r="Q67" i="11"/>
  <c r="P61" i="11"/>
  <c r="P66" i="11" s="1"/>
  <c r="M25" i="11"/>
  <c r="L19" i="11"/>
  <c r="L3" i="11" s="1"/>
  <c r="C77" i="11"/>
  <c r="Z38" i="11" s="1"/>
  <c r="C98" i="11"/>
  <c r="AA38" i="11" s="1"/>
  <c r="K8" i="11" l="1"/>
  <c r="L24" i="11"/>
  <c r="L304" i="11" s="1"/>
  <c r="N25" i="11"/>
  <c r="M19" i="11"/>
  <c r="M3" i="11" s="1"/>
  <c r="R67" i="11"/>
  <c r="Q61" i="11"/>
  <c r="Q66" i="11" s="1"/>
  <c r="Q88" i="11"/>
  <c r="P82" i="11"/>
  <c r="P87" i="11" s="1"/>
  <c r="F134" i="11"/>
  <c r="L8" i="11" l="1"/>
  <c r="R88" i="11"/>
  <c r="Q82" i="11"/>
  <c r="Q87" i="11" s="1"/>
  <c r="S67" i="11"/>
  <c r="R61" i="11"/>
  <c r="R66" i="11" s="1"/>
  <c r="M24" i="11"/>
  <c r="M304" i="11" s="1"/>
  <c r="O25" i="11"/>
  <c r="N19" i="11"/>
  <c r="N3" i="11" s="1"/>
  <c r="F140" i="11"/>
  <c r="F9" i="11"/>
  <c r="F15" i="11" s="1"/>
  <c r="F16" i="11" s="1"/>
  <c r="M8" i="11" l="1"/>
  <c r="N24" i="11"/>
  <c r="N304" i="11" s="1"/>
  <c r="P25" i="11"/>
  <c r="O19" i="11"/>
  <c r="O3" i="11" s="1"/>
  <c r="T67" i="11"/>
  <c r="S61" i="11"/>
  <c r="S66" i="11" s="1"/>
  <c r="S88" i="11"/>
  <c r="R82" i="11"/>
  <c r="R87" i="11" s="1"/>
  <c r="N8" i="11" l="1"/>
  <c r="I4" i="16"/>
  <c r="I9" i="16"/>
  <c r="O24" i="11"/>
  <c r="O304" i="11" s="1"/>
  <c r="U67" i="11"/>
  <c r="T61" i="11"/>
  <c r="T66" i="11" s="1"/>
  <c r="T88" i="11"/>
  <c r="S82" i="11"/>
  <c r="S87" i="11" s="1"/>
  <c r="Q25" i="11"/>
  <c r="P19" i="11"/>
  <c r="P3" i="11" s="1"/>
  <c r="I16" i="11"/>
  <c r="O8" i="11" l="1"/>
  <c r="I14" i="16"/>
  <c r="D27" i="10" s="1"/>
  <c r="E27" i="10" s="1"/>
  <c r="F27" i="10" s="1"/>
  <c r="G27" i="10" s="1"/>
  <c r="H27" i="10" s="1"/>
  <c r="I27" i="10" s="1"/>
  <c r="J27" i="10" s="1"/>
  <c r="K27" i="10" s="1"/>
  <c r="L27" i="10" s="1"/>
  <c r="M27" i="10" s="1"/>
  <c r="N27" i="10" s="1"/>
  <c r="O27" i="10" s="1"/>
  <c r="P27" i="10" s="1"/>
  <c r="I13" i="16"/>
  <c r="D26" i="10" s="1"/>
  <c r="E26" i="10" s="1"/>
  <c r="F26" i="10" s="1"/>
  <c r="G26" i="10" s="1"/>
  <c r="H26" i="10" s="1"/>
  <c r="I26" i="10" s="1"/>
  <c r="J26" i="10" s="1"/>
  <c r="K26" i="10" s="1"/>
  <c r="L26" i="10" s="1"/>
  <c r="N8" i="16"/>
  <c r="O8" i="16"/>
  <c r="O9" i="16" s="1"/>
  <c r="L8" i="16"/>
  <c r="L9" i="16" s="1"/>
  <c r="M8" i="16"/>
  <c r="M9" i="16" s="1"/>
  <c r="F5" i="16"/>
  <c r="I12" i="16"/>
  <c r="D25" i="10" s="1"/>
  <c r="I10" i="16"/>
  <c r="I19" i="16" s="1"/>
  <c r="P24" i="11"/>
  <c r="P304" i="11" s="1"/>
  <c r="R25" i="11"/>
  <c r="Q19" i="11"/>
  <c r="Q3" i="11" s="1"/>
  <c r="U88" i="11"/>
  <c r="T82" i="11"/>
  <c r="T87" i="11" s="1"/>
  <c r="D67" i="11"/>
  <c r="Z17" i="11" s="1"/>
  <c r="Z26" i="11" s="1"/>
  <c r="U61" i="11"/>
  <c r="D61" i="11" s="1"/>
  <c r="Z12" i="11" s="1"/>
  <c r="Z21" i="11" s="1"/>
  <c r="P8" i="11" l="1"/>
  <c r="I18" i="16"/>
  <c r="D30" i="10" s="1"/>
  <c r="E30" i="10" s="1"/>
  <c r="F30" i="10" s="1"/>
  <c r="G30" i="10" s="1"/>
  <c r="H30" i="10" s="1"/>
  <c r="I30" i="10" s="1"/>
  <c r="J30" i="10" s="1"/>
  <c r="K30" i="10" s="1"/>
  <c r="L30" i="10" s="1"/>
  <c r="M30" i="10" s="1"/>
  <c r="N30" i="10" s="1"/>
  <c r="O30" i="10" s="1"/>
  <c r="P30" i="10" s="1"/>
  <c r="N9" i="16"/>
  <c r="I7" i="16"/>
  <c r="I6" i="16"/>
  <c r="F3" i="16"/>
  <c r="D31" i="10"/>
  <c r="E31" i="10" s="1"/>
  <c r="F31" i="10" s="1"/>
  <c r="G31" i="10" s="1"/>
  <c r="H31" i="10" s="1"/>
  <c r="I31" i="10" s="1"/>
  <c r="J31" i="10" s="1"/>
  <c r="K31" i="10" s="1"/>
  <c r="L31" i="10" s="1"/>
  <c r="M31" i="10" s="1"/>
  <c r="N31" i="10" s="1"/>
  <c r="O31" i="10" s="1"/>
  <c r="P31" i="10" s="1"/>
  <c r="I16" i="16"/>
  <c r="D28" i="10" s="1"/>
  <c r="E28" i="10" s="1"/>
  <c r="F28" i="10" s="1"/>
  <c r="G28" i="10" s="1"/>
  <c r="H28" i="10" s="1"/>
  <c r="I28" i="10" s="1"/>
  <c r="J28" i="10" s="1"/>
  <c r="K28" i="10" s="1"/>
  <c r="L28" i="10" s="1"/>
  <c r="M28" i="10" s="1"/>
  <c r="N28" i="10" s="1"/>
  <c r="O28" i="10" s="1"/>
  <c r="P28" i="10" s="1"/>
  <c r="D32" i="10"/>
  <c r="E25" i="10"/>
  <c r="F8" i="16"/>
  <c r="U66" i="11"/>
  <c r="D66" i="11" s="1"/>
  <c r="Z16" i="11" s="1"/>
  <c r="Z25" i="11" s="1"/>
  <c r="Q24" i="11"/>
  <c r="Q304" i="11" s="1"/>
  <c r="D88" i="11"/>
  <c r="AA17" i="11" s="1"/>
  <c r="AA26" i="11" s="1"/>
  <c r="U82" i="11"/>
  <c r="D82" i="11" s="1"/>
  <c r="AA12" i="11" s="1"/>
  <c r="AA21" i="11" s="1"/>
  <c r="S25" i="11"/>
  <c r="R19" i="11"/>
  <c r="R3" i="11" s="1"/>
  <c r="M26" i="10"/>
  <c r="Q8" i="11" l="1"/>
  <c r="D47" i="10"/>
  <c r="D36" i="10"/>
  <c r="D46" i="10" s="1"/>
  <c r="F21" i="16"/>
  <c r="E83" i="10"/>
  <c r="D33" i="10"/>
  <c r="E87" i="10" s="1"/>
  <c r="F25" i="10"/>
  <c r="E32" i="10"/>
  <c r="R24" i="11"/>
  <c r="R304" i="11" s="1"/>
  <c r="U87" i="11"/>
  <c r="D87" i="11" s="1"/>
  <c r="AA16" i="11" s="1"/>
  <c r="AA25" i="11" s="1"/>
  <c r="T25" i="11"/>
  <c r="S19" i="11"/>
  <c r="S3" i="11" s="1"/>
  <c r="N26" i="10"/>
  <c r="R8" i="11" l="1"/>
  <c r="E88" i="10"/>
  <c r="E38" i="10"/>
  <c r="D52" i="10"/>
  <c r="D37" i="10"/>
  <c r="F25" i="16"/>
  <c r="D48" i="10"/>
  <c r="E84" i="10"/>
  <c r="D34" i="10"/>
  <c r="G25" i="10"/>
  <c r="F32" i="10"/>
  <c r="S24" i="11"/>
  <c r="S304" i="11" s="1"/>
  <c r="U25" i="11"/>
  <c r="T19" i="11"/>
  <c r="T3" i="11" s="1"/>
  <c r="O26" i="10"/>
  <c r="S8" i="11" l="1"/>
  <c r="D55" i="10"/>
  <c r="D51" i="10"/>
  <c r="E36" i="10"/>
  <c r="E46" i="10" s="1"/>
  <c r="E39" i="10"/>
  <c r="E47" i="10"/>
  <c r="H25" i="10"/>
  <c r="G32" i="10"/>
  <c r="D101" i="10"/>
  <c r="T24" i="11"/>
  <c r="T304" i="11" s="1"/>
  <c r="D25" i="11"/>
  <c r="X17" i="11" s="1"/>
  <c r="X26" i="11" s="1"/>
  <c r="U19" i="11"/>
  <c r="P26" i="10"/>
  <c r="T8" i="11" l="1"/>
  <c r="E72" i="10"/>
  <c r="E71" i="10"/>
  <c r="D54" i="10"/>
  <c r="E70" i="10" s="1"/>
  <c r="E89" i="10"/>
  <c r="E90" i="10" s="1"/>
  <c r="U24" i="11"/>
  <c r="U304" i="11" s="1"/>
  <c r="U3" i="11"/>
  <c r="D3" i="11" s="1"/>
  <c r="E37" i="10"/>
  <c r="E51" i="10" s="1"/>
  <c r="E54" i="10" s="1"/>
  <c r="E48" i="10"/>
  <c r="D53" i="10"/>
  <c r="E52" i="10"/>
  <c r="E55" i="10" s="1"/>
  <c r="F38" i="10"/>
  <c r="F47" i="10" s="1"/>
  <c r="I25" i="10"/>
  <c r="H32" i="10"/>
  <c r="D102" i="10"/>
  <c r="D115" i="10"/>
  <c r="D19" i="11"/>
  <c r="X12" i="11" s="1"/>
  <c r="U8" i="11" l="1"/>
  <c r="D8" i="11" s="1"/>
  <c r="E95" i="10"/>
  <c r="D24" i="11"/>
  <c r="X16" i="11" s="1"/>
  <c r="AJ16" i="11" s="1"/>
  <c r="F36" i="10"/>
  <c r="F46" i="10" s="1"/>
  <c r="F48" i="10" s="1"/>
  <c r="D56" i="10"/>
  <c r="E85" i="10"/>
  <c r="E86" i="10" s="1"/>
  <c r="F39" i="10"/>
  <c r="E53" i="10"/>
  <c r="J25" i="10"/>
  <c r="I32" i="10"/>
  <c r="D112" i="10"/>
  <c r="D113" i="10" s="1"/>
  <c r="D117" i="10"/>
  <c r="D118" i="10" s="1"/>
  <c r="AJ12" i="11"/>
  <c r="X21" i="11"/>
  <c r="AJ21" i="11" s="1"/>
  <c r="D98" i="11"/>
  <c r="AA47" i="11" s="1"/>
  <c r="X25" i="11" l="1"/>
  <c r="AJ25" i="11" s="1"/>
  <c r="AJ26" i="11" s="1"/>
  <c r="E91" i="10"/>
  <c r="E68" i="10"/>
  <c r="F37" i="10"/>
  <c r="G36" i="10" s="1"/>
  <c r="G46" i="10" s="1"/>
  <c r="AJ17" i="11"/>
  <c r="F52" i="10"/>
  <c r="G38" i="10"/>
  <c r="G47" i="10" s="1"/>
  <c r="E94" i="10"/>
  <c r="E96" i="10" s="1"/>
  <c r="E74" i="10"/>
  <c r="E75" i="10" s="1"/>
  <c r="E73" i="10"/>
  <c r="P4" i="17" s="1"/>
  <c r="E77" i="10"/>
  <c r="E78" i="10" s="1"/>
  <c r="P5" i="17" s="1"/>
  <c r="E56" i="10"/>
  <c r="F70" i="10"/>
  <c r="D116" i="10"/>
  <c r="D57" i="10"/>
  <c r="K25" i="10"/>
  <c r="J32" i="10"/>
  <c r="E111" i="10"/>
  <c r="D97" i="11"/>
  <c r="AA46" i="11" s="1"/>
  <c r="D92" i="11"/>
  <c r="AA42" i="11" s="1"/>
  <c r="E100" i="10" l="1"/>
  <c r="F50" i="10"/>
  <c r="F85" i="10"/>
  <c r="F83" i="10"/>
  <c r="F84" i="10"/>
  <c r="F68" i="10"/>
  <c r="F51" i="10"/>
  <c r="F53" i="10" s="1"/>
  <c r="G37" i="10"/>
  <c r="H36" i="10" s="1"/>
  <c r="H46" i="10" s="1"/>
  <c r="E119" i="10"/>
  <c r="F94" i="10"/>
  <c r="G39" i="10"/>
  <c r="G48" i="10"/>
  <c r="E116" i="10"/>
  <c r="L25" i="10"/>
  <c r="K32" i="10"/>
  <c r="D77" i="11"/>
  <c r="Z47" i="11" s="1"/>
  <c r="F54" i="10" l="1"/>
  <c r="G70" i="10" s="1"/>
  <c r="F55" i="10"/>
  <c r="F86" i="10"/>
  <c r="H37" i="10"/>
  <c r="I36" i="10" s="1"/>
  <c r="I46" i="10" s="1"/>
  <c r="G51" i="10"/>
  <c r="G52" i="10"/>
  <c r="H38" i="10"/>
  <c r="H47" i="10" s="1"/>
  <c r="M25" i="10"/>
  <c r="L32" i="10"/>
  <c r="D76" i="11"/>
  <c r="Z46" i="11" s="1"/>
  <c r="D140" i="11"/>
  <c r="AB47" i="11" s="1"/>
  <c r="G83" i="10" l="1"/>
  <c r="G84" i="10"/>
  <c r="G85" i="10"/>
  <c r="G68" i="10"/>
  <c r="G53" i="10"/>
  <c r="F56" i="10"/>
  <c r="H51" i="10"/>
  <c r="H39" i="10"/>
  <c r="I38" i="10" s="1"/>
  <c r="I47" i="10" s="1"/>
  <c r="I37" i="10"/>
  <c r="H48" i="10"/>
  <c r="G94" i="10"/>
  <c r="N25" i="10"/>
  <c r="M32" i="10"/>
  <c r="D71" i="11"/>
  <c r="Z42" i="11" s="1"/>
  <c r="D139" i="11"/>
  <c r="AB46" i="11" s="1"/>
  <c r="G86" i="10" l="1"/>
  <c r="F116" i="10"/>
  <c r="H52" i="10"/>
  <c r="I39" i="10"/>
  <c r="I48" i="10"/>
  <c r="I51" i="10"/>
  <c r="J36" i="10"/>
  <c r="J46" i="10" s="1"/>
  <c r="O25" i="10"/>
  <c r="N32" i="10"/>
  <c r="D134" i="11"/>
  <c r="AB42" i="11" s="1"/>
  <c r="C55" i="11"/>
  <c r="Y37" i="11" s="1"/>
  <c r="AJ37" i="11" s="1"/>
  <c r="H53" i="10" l="1"/>
  <c r="J37" i="10"/>
  <c r="J38" i="10"/>
  <c r="J47" i="10" s="1"/>
  <c r="I52" i="10"/>
  <c r="P25" i="10"/>
  <c r="P32" i="10" s="1"/>
  <c r="O32" i="10"/>
  <c r="C9" i="11"/>
  <c r="C50" i="11"/>
  <c r="Y33" i="11" s="1"/>
  <c r="AJ33" i="11" s="1"/>
  <c r="AJ38" i="11" s="1"/>
  <c r="H68" i="10" l="1"/>
  <c r="J39" i="10"/>
  <c r="J52" i="10" s="1"/>
  <c r="K36" i="10"/>
  <c r="K46" i="10" s="1"/>
  <c r="J51" i="10"/>
  <c r="I53" i="10"/>
  <c r="J48" i="10"/>
  <c r="C15" i="11"/>
  <c r="C16" i="11" s="1"/>
  <c r="C56" i="11"/>
  <c r="Y38" i="11" s="1"/>
  <c r="I68" i="10" l="1"/>
  <c r="K37" i="10"/>
  <c r="L36" i="10" s="1"/>
  <c r="L46" i="10" s="1"/>
  <c r="K38" i="10"/>
  <c r="K47" i="10" s="1"/>
  <c r="J53" i="10"/>
  <c r="J68" i="10" l="1"/>
  <c r="K51" i="10"/>
  <c r="K48" i="10"/>
  <c r="K39" i="10"/>
  <c r="L38" i="10" s="1"/>
  <c r="L47" i="10" s="1"/>
  <c r="L37" i="10"/>
  <c r="M36" i="10" s="1"/>
  <c r="M46" i="10" s="1"/>
  <c r="K52" i="10" l="1"/>
  <c r="L51" i="10"/>
  <c r="L48" i="10"/>
  <c r="L39" i="10"/>
  <c r="M38" i="10" s="1"/>
  <c r="M47" i="10" s="1"/>
  <c r="M37" i="10"/>
  <c r="K53" i="10" l="1"/>
  <c r="L52" i="10"/>
  <c r="L53" i="10" s="1"/>
  <c r="M48" i="10"/>
  <c r="M39" i="10"/>
  <c r="N36" i="10"/>
  <c r="N46" i="10" s="1"/>
  <c r="M51" i="10"/>
  <c r="K68" i="10" l="1"/>
  <c r="N37" i="10"/>
  <c r="N51" i="10" s="1"/>
  <c r="M52" i="10"/>
  <c r="M53" i="10" s="1"/>
  <c r="N38" i="10"/>
  <c r="N47" i="10" s="1"/>
  <c r="L68" i="10" l="1"/>
  <c r="O36" i="10"/>
  <c r="O46" i="10" s="1"/>
  <c r="N48" i="10"/>
  <c r="N39" i="10"/>
  <c r="M68" i="10" l="1"/>
  <c r="O37" i="10"/>
  <c r="P36" i="10" s="1"/>
  <c r="P46" i="10" s="1"/>
  <c r="O38" i="10"/>
  <c r="O47" i="10" s="1"/>
  <c r="N52" i="10"/>
  <c r="N53" i="10" s="1"/>
  <c r="O51" i="10" l="1"/>
  <c r="O39" i="10"/>
  <c r="O48" i="10"/>
  <c r="P37" i="10"/>
  <c r="P51" i="10" s="1"/>
  <c r="N68" i="10" l="1"/>
  <c r="P38" i="10"/>
  <c r="P47" i="10" s="1"/>
  <c r="P48" i="10" s="1"/>
  <c r="O52" i="10"/>
  <c r="O53" i="10" s="1"/>
  <c r="P39" i="10" l="1"/>
  <c r="P52" i="10" s="1"/>
  <c r="P53" i="10" s="1"/>
  <c r="P68" i="10" l="1"/>
  <c r="O68" i="10"/>
  <c r="D15" i="11" l="1"/>
  <c r="D29" i="11"/>
  <c r="X42" i="11" s="1"/>
  <c r="AJ42" i="11" s="1"/>
  <c r="D34" i="11"/>
  <c r="X46" i="11" s="1"/>
  <c r="AJ46" i="11" s="1"/>
  <c r="Q16" i="11" l="1"/>
  <c r="L33" i="10" s="1"/>
  <c r="T16" i="11"/>
  <c r="O33" i="10" s="1"/>
  <c r="P16" i="11"/>
  <c r="K33" i="10" s="1"/>
  <c r="N16" i="11"/>
  <c r="I33" i="10" s="1"/>
  <c r="O16" i="11"/>
  <c r="J33" i="10" s="1"/>
  <c r="J16" i="11"/>
  <c r="E33" i="10" s="1"/>
  <c r="K16" i="11"/>
  <c r="F33" i="10" s="1"/>
  <c r="R16" i="11"/>
  <c r="M33" i="10" s="1"/>
  <c r="L16" i="11"/>
  <c r="G33" i="10" s="1"/>
  <c r="S16" i="11"/>
  <c r="N33" i="10" s="1"/>
  <c r="M16" i="11"/>
  <c r="H33" i="10" s="1"/>
  <c r="AJ47" i="11"/>
  <c r="D9" i="11"/>
  <c r="D16" i="11" s="1"/>
  <c r="K34" i="10" l="1"/>
  <c r="N34" i="10"/>
  <c r="O34" i="10"/>
  <c r="G34" i="10"/>
  <c r="G101" i="10" s="1"/>
  <c r="L34" i="10"/>
  <c r="L101" i="10" s="1"/>
  <c r="F34" i="10"/>
  <c r="E34" i="10"/>
  <c r="F72" i="10"/>
  <c r="G72" i="10" s="1"/>
  <c r="F71" i="10"/>
  <c r="M34" i="10"/>
  <c r="J34" i="10"/>
  <c r="H34" i="10"/>
  <c r="I34" i="10"/>
  <c r="U16" i="11"/>
  <c r="P33" i="10" s="1"/>
  <c r="P34" i="10" s="1"/>
  <c r="O101" i="10" l="1"/>
  <c r="F101" i="10"/>
  <c r="F57" i="10"/>
  <c r="M101" i="10"/>
  <c r="P101" i="10"/>
  <c r="N101" i="10"/>
  <c r="E101" i="10"/>
  <c r="E57" i="10"/>
  <c r="F74" i="10"/>
  <c r="F75" i="10" s="1"/>
  <c r="F73" i="10"/>
  <c r="Q4" i="17" s="1"/>
  <c r="F89" i="10"/>
  <c r="F88" i="10"/>
  <c r="F87" i="10"/>
  <c r="F95" i="10"/>
  <c r="F96" i="10" s="1"/>
  <c r="F77" i="10"/>
  <c r="F78" i="10" s="1"/>
  <c r="Q5" i="17" s="1"/>
  <c r="H101" i="10"/>
  <c r="G71" i="10"/>
  <c r="I101" i="10"/>
  <c r="J101" i="10"/>
  <c r="K101" i="10"/>
  <c r="J396" i="2"/>
  <c r="J383" i="2"/>
  <c r="J404" i="2"/>
  <c r="J402" i="2" s="1"/>
  <c r="J389" i="2"/>
  <c r="F100" i="10" l="1"/>
  <c r="F102" i="10" s="1"/>
  <c r="G50" i="10"/>
  <c r="G89" i="10"/>
  <c r="G88" i="10"/>
  <c r="G74" i="10"/>
  <c r="G75" i="10" s="1"/>
  <c r="G87" i="10"/>
  <c r="G73" i="10"/>
  <c r="R4" i="17" s="1"/>
  <c r="G77" i="10"/>
  <c r="G78" i="10" s="1"/>
  <c r="R5" i="17" s="1"/>
  <c r="G95" i="10"/>
  <c r="G96" i="10" s="1"/>
  <c r="E102" i="10"/>
  <c r="E115" i="10"/>
  <c r="P6" i="17" s="1"/>
  <c r="F119" i="10"/>
  <c r="F90" i="10"/>
  <c r="F91" i="10" s="1"/>
  <c r="J387" i="2"/>
  <c r="J10" i="2" s="1"/>
  <c r="J11" i="2"/>
  <c r="R19" i="3" s="1"/>
  <c r="J381" i="2"/>
  <c r="J7" i="2" s="1"/>
  <c r="J8" i="2"/>
  <c r="J394" i="2"/>
  <c r="J393" i="2" s="1"/>
  <c r="N393" i="2" s="1"/>
  <c r="J5" i="2"/>
  <c r="G100" i="10" l="1"/>
  <c r="G102" i="10" s="1"/>
  <c r="H50" i="10"/>
  <c r="G54" i="10"/>
  <c r="H70" i="10" s="1"/>
  <c r="G55" i="10"/>
  <c r="G90" i="10"/>
  <c r="G91" i="10" s="1"/>
  <c r="G119" i="10"/>
  <c r="F117" i="10"/>
  <c r="E117" i="10"/>
  <c r="E118" i="10" s="1"/>
  <c r="P8" i="17" s="1"/>
  <c r="E132" i="10"/>
  <c r="E133" i="10" s="1"/>
  <c r="E16" i="3"/>
  <c r="J4" i="2"/>
  <c r="K19" i="3" s="1"/>
  <c r="N10" i="2"/>
  <c r="T19" i="3"/>
  <c r="C30" i="3"/>
  <c r="N7" i="2"/>
  <c r="J366" i="2"/>
  <c r="H54" i="10" l="1"/>
  <c r="H55" i="10"/>
  <c r="H94" i="10"/>
  <c r="H85" i="10"/>
  <c r="H84" i="10"/>
  <c r="H83" i="10"/>
  <c r="G56" i="10"/>
  <c r="H72" i="10"/>
  <c r="H71" i="10"/>
  <c r="H77" i="10" s="1"/>
  <c r="H78" i="10" s="1"/>
  <c r="S5" i="17" s="1"/>
  <c r="G117" i="10"/>
  <c r="E106" i="10"/>
  <c r="E110" i="10" s="1"/>
  <c r="E112" i="10" s="1"/>
  <c r="E113" i="10" s="1"/>
  <c r="P7" i="17" s="1"/>
  <c r="F140" i="10"/>
  <c r="J3" i="2"/>
  <c r="Q19" i="3" s="1"/>
  <c r="N366" i="2"/>
  <c r="B30" i="3"/>
  <c r="N4" i="2"/>
  <c r="H86" i="10" l="1"/>
  <c r="F111" i="10"/>
  <c r="H74" i="10"/>
  <c r="H75" i="10" s="1"/>
  <c r="F143" i="10"/>
  <c r="F138" i="10" s="1"/>
  <c r="F108" i="10" s="1"/>
  <c r="F115" i="10" s="1"/>
  <c r="Q6" i="17" s="1"/>
  <c r="K141" i="10"/>
  <c r="H141" i="10"/>
  <c r="H143" i="10"/>
  <c r="F141" i="10"/>
  <c r="F136" i="10" s="1"/>
  <c r="F107" i="10" s="1"/>
  <c r="P141" i="10"/>
  <c r="N141" i="10"/>
  <c r="J143" i="10"/>
  <c r="O141" i="10"/>
  <c r="F135" i="10"/>
  <c r="G141" i="10"/>
  <c r="L141" i="10"/>
  <c r="L143" i="10"/>
  <c r="M141" i="10"/>
  <c r="K143" i="10"/>
  <c r="J141" i="10"/>
  <c r="G143" i="10"/>
  <c r="M143" i="10"/>
  <c r="O143" i="10"/>
  <c r="N143" i="10"/>
  <c r="I141" i="10"/>
  <c r="I143" i="10"/>
  <c r="P143" i="10"/>
  <c r="H89" i="10"/>
  <c r="H88" i="10"/>
  <c r="H95" i="10"/>
  <c r="H96" i="10" s="1"/>
  <c r="H87" i="10"/>
  <c r="I70" i="10"/>
  <c r="H56" i="10"/>
  <c r="H73" i="10"/>
  <c r="S4" i="17" s="1"/>
  <c r="G57" i="10"/>
  <c r="G116" i="10"/>
  <c r="I71" i="10"/>
  <c r="I72" i="10"/>
  <c r="D30" i="3"/>
  <c r="H100" i="10" l="1"/>
  <c r="H102" i="10" s="1"/>
  <c r="I50" i="10"/>
  <c r="F118" i="10"/>
  <c r="Q8" i="17" s="1"/>
  <c r="H90" i="10"/>
  <c r="H91" i="10" s="1"/>
  <c r="H119" i="10"/>
  <c r="I88" i="10"/>
  <c r="I89" i="10"/>
  <c r="I87" i="10"/>
  <c r="I95" i="10"/>
  <c r="F142" i="10"/>
  <c r="I83" i="10"/>
  <c r="I94" i="10"/>
  <c r="I85" i="10"/>
  <c r="I84" i="10"/>
  <c r="I77" i="10"/>
  <c r="I78" i="10" s="1"/>
  <c r="T5" i="17" s="1"/>
  <c r="I74" i="10"/>
  <c r="I75" i="10" s="1"/>
  <c r="I73" i="10"/>
  <c r="T4" i="17" s="1"/>
  <c r="F132" i="10"/>
  <c r="F133" i="10" s="1"/>
  <c r="H116" i="10"/>
  <c r="H57" i="10"/>
  <c r="I55" i="10" l="1"/>
  <c r="I54" i="10"/>
  <c r="I96" i="10"/>
  <c r="I90" i="10"/>
  <c r="I86" i="10"/>
  <c r="H117" i="10"/>
  <c r="G145" i="10"/>
  <c r="F106" i="10"/>
  <c r="F110" i="10" s="1"/>
  <c r="F112" i="10" s="1"/>
  <c r="F113" i="10" s="1"/>
  <c r="Q7" i="17" s="1"/>
  <c r="F137" i="10"/>
  <c r="G140" i="10"/>
  <c r="J50" i="10" l="1"/>
  <c r="I100" i="10"/>
  <c r="I102" i="10" s="1"/>
  <c r="I117" i="10" s="1"/>
  <c r="I119" i="10"/>
  <c r="I91" i="10"/>
  <c r="G142" i="10"/>
  <c r="G135" i="10"/>
  <c r="J72" i="10"/>
  <c r="J71" i="10"/>
  <c r="J70" i="10"/>
  <c r="I56" i="10"/>
  <c r="G111" i="10"/>
  <c r="K148" i="10"/>
  <c r="G148" i="10"/>
  <c r="G138" i="10" s="1"/>
  <c r="G108" i="10" s="1"/>
  <c r="G115" i="10" s="1"/>
  <c r="R6" i="17" s="1"/>
  <c r="J146" i="10"/>
  <c r="G146" i="10"/>
  <c r="G136" i="10" s="1"/>
  <c r="G107" i="10" s="1"/>
  <c r="N148" i="10"/>
  <c r="P148" i="10"/>
  <c r="I148" i="10"/>
  <c r="O148" i="10"/>
  <c r="J148" i="10"/>
  <c r="I146" i="10"/>
  <c r="O146" i="10"/>
  <c r="L146" i="10"/>
  <c r="L148" i="10"/>
  <c r="N146" i="10"/>
  <c r="K146" i="10"/>
  <c r="M146" i="10"/>
  <c r="H146" i="10"/>
  <c r="M148" i="10"/>
  <c r="P146" i="10"/>
  <c r="H148" i="10"/>
  <c r="J55" i="10" l="1"/>
  <c r="K71" i="10" s="1"/>
  <c r="J54" i="10"/>
  <c r="K70" i="10" s="1"/>
  <c r="G118" i="10"/>
  <c r="R8" i="17" s="1"/>
  <c r="J88" i="10"/>
  <c r="J87" i="10"/>
  <c r="J89" i="10"/>
  <c r="J95" i="10"/>
  <c r="G132" i="10"/>
  <c r="G133" i="10" s="1"/>
  <c r="H140" i="10"/>
  <c r="I116" i="10"/>
  <c r="I57" i="10"/>
  <c r="G147" i="10"/>
  <c r="H145" i="10" s="1"/>
  <c r="H147" i="10" s="1"/>
  <c r="I145" i="10" s="1"/>
  <c r="I147" i="10" s="1"/>
  <c r="J145" i="10" s="1"/>
  <c r="J147" i="10" s="1"/>
  <c r="K145" i="10" s="1"/>
  <c r="K147" i="10" s="1"/>
  <c r="L145" i="10" s="1"/>
  <c r="L147" i="10" s="1"/>
  <c r="M145" i="10" s="1"/>
  <c r="M147" i="10" s="1"/>
  <c r="N145" i="10" s="1"/>
  <c r="N147" i="10" s="1"/>
  <c r="O145" i="10" s="1"/>
  <c r="O147" i="10" s="1"/>
  <c r="P145" i="10" s="1"/>
  <c r="P147" i="10" s="1"/>
  <c r="J83" i="10"/>
  <c r="J85" i="10"/>
  <c r="J94" i="10"/>
  <c r="J84" i="10"/>
  <c r="J77" i="10"/>
  <c r="J78" i="10" s="1"/>
  <c r="U5" i="17" s="1"/>
  <c r="J74" i="10"/>
  <c r="J75" i="10" s="1"/>
  <c r="J73" i="10"/>
  <c r="U4" i="17" s="1"/>
  <c r="G137" i="10" l="1"/>
  <c r="J56" i="10"/>
  <c r="J116" i="10" s="1"/>
  <c r="K72" i="10"/>
  <c r="K95" i="10" s="1"/>
  <c r="J90" i="10"/>
  <c r="H142" i="10"/>
  <c r="G106" i="10"/>
  <c r="G110" i="10" s="1"/>
  <c r="G112" i="10" s="1"/>
  <c r="G113" i="10" s="1"/>
  <c r="R7" i="17" s="1"/>
  <c r="H150" i="10"/>
  <c r="J96" i="10"/>
  <c r="K87" i="10"/>
  <c r="K88" i="10"/>
  <c r="K89" i="10"/>
  <c r="J86" i="10"/>
  <c r="K85" i="10"/>
  <c r="K84" i="10"/>
  <c r="K83" i="10"/>
  <c r="K94" i="10"/>
  <c r="K77" i="10"/>
  <c r="K78" i="10" s="1"/>
  <c r="V5" i="17" s="1"/>
  <c r="K74" i="10"/>
  <c r="K75" i="10" s="1"/>
  <c r="K73" i="10"/>
  <c r="V4" i="17" s="1"/>
  <c r="J100" i="10" l="1"/>
  <c r="J102" i="10" s="1"/>
  <c r="K50" i="10"/>
  <c r="K86" i="10"/>
  <c r="J57" i="10"/>
  <c r="J91" i="10"/>
  <c r="K90" i="10"/>
  <c r="I140" i="10"/>
  <c r="J119" i="10"/>
  <c r="H111" i="10"/>
  <c r="P153" i="10"/>
  <c r="N151" i="10"/>
  <c r="K151" i="10"/>
  <c r="H151" i="10"/>
  <c r="H136" i="10" s="1"/>
  <c r="H107" i="10" s="1"/>
  <c r="L153" i="10"/>
  <c r="H153" i="10"/>
  <c r="H138" i="10" s="1"/>
  <c r="H108" i="10" s="1"/>
  <c r="H115" i="10" s="1"/>
  <c r="S6" i="17" s="1"/>
  <c r="J153" i="10"/>
  <c r="I151" i="10"/>
  <c r="K153" i="10"/>
  <c r="L151" i="10"/>
  <c r="O151" i="10"/>
  <c r="P151" i="10"/>
  <c r="M151" i="10"/>
  <c r="M153" i="10"/>
  <c r="I153" i="10"/>
  <c r="J151" i="10"/>
  <c r="O153" i="10"/>
  <c r="N153" i="10"/>
  <c r="K96" i="10"/>
  <c r="H135" i="10"/>
  <c r="K100" i="10" l="1"/>
  <c r="K102" i="10" s="1"/>
  <c r="L50" i="10"/>
  <c r="K55" i="10"/>
  <c r="K54" i="10"/>
  <c r="K91" i="10"/>
  <c r="H118" i="10"/>
  <c r="S8" i="17" s="1"/>
  <c r="J117" i="10"/>
  <c r="H132" i="10"/>
  <c r="H133" i="10" s="1"/>
  <c r="H152" i="10"/>
  <c r="K119" i="10"/>
  <c r="I142" i="10"/>
  <c r="L54" i="10" l="1"/>
  <c r="L55" i="10"/>
  <c r="I150" i="10"/>
  <c r="H137" i="10"/>
  <c r="K56" i="10"/>
  <c r="L70" i="10"/>
  <c r="J140" i="10"/>
  <c r="L71" i="10"/>
  <c r="L72" i="10"/>
  <c r="H106" i="10"/>
  <c r="H110" i="10" s="1"/>
  <c r="H112" i="10" s="1"/>
  <c r="H113" i="10" s="1"/>
  <c r="S7" i="17" s="1"/>
  <c r="I155" i="10"/>
  <c r="K117" i="10"/>
  <c r="I152" i="10" l="1"/>
  <c r="I135" i="10"/>
  <c r="L89" i="10"/>
  <c r="L87" i="10"/>
  <c r="L88" i="10"/>
  <c r="L95" i="10"/>
  <c r="I111" i="10"/>
  <c r="M72" i="10"/>
  <c r="M71" i="10"/>
  <c r="L73" i="10"/>
  <c r="W4" i="17" s="1"/>
  <c r="L74" i="10"/>
  <c r="L75" i="10" s="1"/>
  <c r="L84" i="10"/>
  <c r="L83" i="10"/>
  <c r="L94" i="10"/>
  <c r="L85" i="10"/>
  <c r="L77" i="10"/>
  <c r="L78" i="10" s="1"/>
  <c r="W5" i="17" s="1"/>
  <c r="M70" i="10"/>
  <c r="L56" i="10"/>
  <c r="J142" i="10"/>
  <c r="K116" i="10"/>
  <c r="K57" i="10"/>
  <c r="P158" i="10"/>
  <c r="P156" i="10"/>
  <c r="N158" i="10"/>
  <c r="J156" i="10"/>
  <c r="I158" i="10"/>
  <c r="I138" i="10" s="1"/>
  <c r="I108" i="10" s="1"/>
  <c r="I115" i="10" s="1"/>
  <c r="T6" i="17" s="1"/>
  <c r="I156" i="10"/>
  <c r="I136" i="10" s="1"/>
  <c r="I107" i="10" s="1"/>
  <c r="K156" i="10"/>
  <c r="J158" i="10"/>
  <c r="O156" i="10"/>
  <c r="N156" i="10"/>
  <c r="L156" i="10"/>
  <c r="K158" i="10"/>
  <c r="L158" i="10"/>
  <c r="O158" i="10"/>
  <c r="M158" i="10"/>
  <c r="M156" i="10"/>
  <c r="L96" i="10" l="1"/>
  <c r="I157" i="10"/>
  <c r="J155" i="10" s="1"/>
  <c r="J157" i="10" s="1"/>
  <c r="K155" i="10" s="1"/>
  <c r="K157" i="10" s="1"/>
  <c r="L155" i="10" s="1"/>
  <c r="L157" i="10" s="1"/>
  <c r="M155" i="10" s="1"/>
  <c r="M157" i="10" s="1"/>
  <c r="N155" i="10" s="1"/>
  <c r="N157" i="10" s="1"/>
  <c r="O155" i="10" s="1"/>
  <c r="O157" i="10" s="1"/>
  <c r="P155" i="10" s="1"/>
  <c r="P157" i="10" s="1"/>
  <c r="I118" i="10"/>
  <c r="T8" i="17" s="1"/>
  <c r="L90" i="10"/>
  <c r="I132" i="10"/>
  <c r="I133" i="10" s="1"/>
  <c r="L86" i="10"/>
  <c r="K140" i="10"/>
  <c r="L57" i="10"/>
  <c r="L116" i="10"/>
  <c r="M83" i="10"/>
  <c r="M85" i="10"/>
  <c r="M84" i="10"/>
  <c r="M94" i="10"/>
  <c r="M77" i="10"/>
  <c r="M78" i="10" s="1"/>
  <c r="X5" i="17" s="1"/>
  <c r="M73" i="10"/>
  <c r="X4" i="17" s="1"/>
  <c r="M74" i="10"/>
  <c r="M75" i="10" s="1"/>
  <c r="M89" i="10"/>
  <c r="M87" i="10"/>
  <c r="M95" i="10"/>
  <c r="M88" i="10"/>
  <c r="J150" i="10"/>
  <c r="M50" i="10" l="1"/>
  <c r="L119" i="10"/>
  <c r="L100" i="10"/>
  <c r="L102" i="10" s="1"/>
  <c r="L117" i="10" s="1"/>
  <c r="I137" i="10"/>
  <c r="L91" i="10"/>
  <c r="J152" i="10"/>
  <c r="K142" i="10"/>
  <c r="M96" i="10"/>
  <c r="N50" i="10" s="1"/>
  <c r="M86" i="10"/>
  <c r="M90" i="10"/>
  <c r="J160" i="10"/>
  <c r="I106" i="10"/>
  <c r="M100" i="10" l="1"/>
  <c r="M102" i="10" s="1"/>
  <c r="M54" i="10"/>
  <c r="N70" i="10" s="1"/>
  <c r="M55" i="10"/>
  <c r="N71" i="10" s="1"/>
  <c r="I110" i="10"/>
  <c r="I112" i="10" s="1"/>
  <c r="I113" i="10" s="1"/>
  <c r="M91" i="10"/>
  <c r="P163" i="10"/>
  <c r="K161" i="10"/>
  <c r="L161" i="10"/>
  <c r="O163" i="10"/>
  <c r="J163" i="10"/>
  <c r="J138" i="10" s="1"/>
  <c r="J108" i="10" s="1"/>
  <c r="J115" i="10" s="1"/>
  <c r="U6" i="17" s="1"/>
  <c r="J161" i="10"/>
  <c r="J136" i="10" s="1"/>
  <c r="J107" i="10" s="1"/>
  <c r="P161" i="10"/>
  <c r="K163" i="10"/>
  <c r="N161" i="10"/>
  <c r="L163" i="10"/>
  <c r="M163" i="10"/>
  <c r="M161" i="10"/>
  <c r="O161" i="10"/>
  <c r="N163" i="10"/>
  <c r="K150" i="10"/>
  <c r="M119" i="10"/>
  <c r="L140" i="10"/>
  <c r="J135" i="10"/>
  <c r="J111" i="10" l="1"/>
  <c r="T7" i="17"/>
  <c r="N54" i="10"/>
  <c r="N55" i="10"/>
  <c r="N72" i="10"/>
  <c r="N95" i="10" s="1"/>
  <c r="M56" i="10"/>
  <c r="M116" i="10" s="1"/>
  <c r="J132" i="10"/>
  <c r="J133" i="10" s="1"/>
  <c r="J106" i="10" s="1"/>
  <c r="J110" i="10" s="1"/>
  <c r="J112" i="10" s="1"/>
  <c r="J162" i="10"/>
  <c r="J118" i="10"/>
  <c r="U8" i="17" s="1"/>
  <c r="K152" i="10"/>
  <c r="M117" i="10"/>
  <c r="N73" i="10"/>
  <c r="Y4" i="17" s="1"/>
  <c r="N84" i="10"/>
  <c r="N77" i="10"/>
  <c r="N78" i="10" s="1"/>
  <c r="Y5" i="17" s="1"/>
  <c r="N74" i="10"/>
  <c r="N75" i="10" s="1"/>
  <c r="N94" i="10"/>
  <c r="N83" i="10"/>
  <c r="N85" i="10"/>
  <c r="L142" i="10"/>
  <c r="N88" i="10"/>
  <c r="N89" i="10"/>
  <c r="N87" i="10"/>
  <c r="J113" i="10" l="1"/>
  <c r="U7" i="17" s="1"/>
  <c r="M57" i="10"/>
  <c r="K165" i="10"/>
  <c r="K168" i="10" s="1"/>
  <c r="K138" i="10" s="1"/>
  <c r="K108" i="10" s="1"/>
  <c r="K115" i="10" s="1"/>
  <c r="V6" i="17" s="1"/>
  <c r="N90" i="10"/>
  <c r="N86" i="10"/>
  <c r="K160" i="10"/>
  <c r="J137" i="10"/>
  <c r="N96" i="10"/>
  <c r="O71" i="10"/>
  <c r="O72" i="10"/>
  <c r="L150" i="10"/>
  <c r="M140" i="10"/>
  <c r="N56" i="10"/>
  <c r="O70" i="10"/>
  <c r="K111" i="10" l="1"/>
  <c r="N100" i="10"/>
  <c r="N102" i="10" s="1"/>
  <c r="O50" i="10"/>
  <c r="M168" i="10"/>
  <c r="L166" i="10"/>
  <c r="N166" i="10"/>
  <c r="P168" i="10"/>
  <c r="O166" i="10"/>
  <c r="M166" i="10"/>
  <c r="L168" i="10"/>
  <c r="K166" i="10"/>
  <c r="K136" i="10" s="1"/>
  <c r="K107" i="10" s="1"/>
  <c r="K132" i="10" s="1"/>
  <c r="K133" i="10" s="1"/>
  <c r="P166" i="10"/>
  <c r="N168" i="10"/>
  <c r="O168" i="10"/>
  <c r="N91" i="10"/>
  <c r="K162" i="10"/>
  <c r="K135" i="10"/>
  <c r="M142" i="10"/>
  <c r="L152" i="10"/>
  <c r="O89" i="10"/>
  <c r="O88" i="10"/>
  <c r="O87" i="10"/>
  <c r="O95" i="10"/>
  <c r="O73" i="10"/>
  <c r="Z4" i="17" s="1"/>
  <c r="O77" i="10"/>
  <c r="O78" i="10" s="1"/>
  <c r="Z5" i="17" s="1"/>
  <c r="O74" i="10"/>
  <c r="O75" i="10" s="1"/>
  <c r="O84" i="10"/>
  <c r="O83" i="10"/>
  <c r="O94" i="10"/>
  <c r="O85" i="10"/>
  <c r="N119" i="10"/>
  <c r="N116" i="10"/>
  <c r="N57" i="10"/>
  <c r="O54" i="10" l="1"/>
  <c r="O55" i="10"/>
  <c r="K118" i="10"/>
  <c r="V8" i="17" s="1"/>
  <c r="K167" i="10"/>
  <c r="L165" i="10" s="1"/>
  <c r="L167" i="10" s="1"/>
  <c r="M165" i="10" s="1"/>
  <c r="M167" i="10" s="1"/>
  <c r="N165" i="10" s="1"/>
  <c r="N167" i="10" s="1"/>
  <c r="O165" i="10" s="1"/>
  <c r="O167" i="10" s="1"/>
  <c r="P165" i="10" s="1"/>
  <c r="P167" i="10" s="1"/>
  <c r="O90" i="10"/>
  <c r="O96" i="10"/>
  <c r="P50" i="10" s="1"/>
  <c r="L160" i="10"/>
  <c r="L162" i="10" s="1"/>
  <c r="M160" i="10" s="1"/>
  <c r="M162" i="10" s="1"/>
  <c r="N160" i="10" s="1"/>
  <c r="N162" i="10" s="1"/>
  <c r="O160" i="10" s="1"/>
  <c r="O162" i="10" s="1"/>
  <c r="P160" i="10" s="1"/>
  <c r="P162" i="10" s="1"/>
  <c r="O86" i="10"/>
  <c r="M150" i="10"/>
  <c r="K106" i="10"/>
  <c r="K110" i="10" s="1"/>
  <c r="K112" i="10" s="1"/>
  <c r="K113" i="10" s="1"/>
  <c r="V7" i="17" s="1"/>
  <c r="L170" i="10"/>
  <c r="N117" i="10"/>
  <c r="N140" i="10"/>
  <c r="O100" i="10" l="1"/>
  <c r="O102" i="10" s="1"/>
  <c r="O117" i="10" s="1"/>
  <c r="O119" i="10"/>
  <c r="K137" i="10"/>
  <c r="O91" i="10"/>
  <c r="P71" i="10"/>
  <c r="P72" i="10"/>
  <c r="N171" i="10"/>
  <c r="O171" i="10"/>
  <c r="P171" i="10"/>
  <c r="N173" i="10"/>
  <c r="M171" i="10"/>
  <c r="L173" i="10"/>
  <c r="L138" i="10" s="1"/>
  <c r="L108" i="10" s="1"/>
  <c r="L115" i="10" s="1"/>
  <c r="W6" i="17" s="1"/>
  <c r="P173" i="10"/>
  <c r="M173" i="10"/>
  <c r="L171" i="10"/>
  <c r="L136" i="10" s="1"/>
  <c r="L107" i="10" s="1"/>
  <c r="O173" i="10"/>
  <c r="L135" i="10"/>
  <c r="M152" i="10"/>
  <c r="L111" i="10"/>
  <c r="N142" i="10"/>
  <c r="O56" i="10"/>
  <c r="P70" i="10"/>
  <c r="P55" i="10" l="1"/>
  <c r="P54" i="10"/>
  <c r="L172" i="10"/>
  <c r="M170" i="10" s="1"/>
  <c r="P89" i="10"/>
  <c r="P95" i="10"/>
  <c r="P87" i="10"/>
  <c r="P88" i="10"/>
  <c r="P73" i="10"/>
  <c r="AA4" i="17" s="1"/>
  <c r="P94" i="10"/>
  <c r="P77" i="10"/>
  <c r="P78" i="10" s="1"/>
  <c r="AA5" i="17" s="1"/>
  <c r="P85" i="10"/>
  <c r="P84" i="10"/>
  <c r="P74" i="10"/>
  <c r="P75" i="10" s="1"/>
  <c r="P83" i="10"/>
  <c r="N150" i="10"/>
  <c r="O116" i="10"/>
  <c r="O57" i="10"/>
  <c r="L118" i="10"/>
  <c r="W8" i="17" s="1"/>
  <c r="O140" i="10"/>
  <c r="L132" i="10"/>
  <c r="L133" i="10" s="1"/>
  <c r="P56" i="10" l="1"/>
  <c r="P116" i="10" s="1"/>
  <c r="L137" i="10"/>
  <c r="P96" i="10"/>
  <c r="L106" i="10"/>
  <c r="L110" i="10" s="1"/>
  <c r="L112" i="10" s="1"/>
  <c r="L113" i="10" s="1"/>
  <c r="W7" i="17" s="1"/>
  <c r="M175" i="10"/>
  <c r="M135" i="10" s="1"/>
  <c r="O142" i="10"/>
  <c r="N152" i="10"/>
  <c r="M172" i="10"/>
  <c r="P86" i="10"/>
  <c r="P90" i="10"/>
  <c r="P57" i="10" l="1"/>
  <c r="P119" i="10"/>
  <c r="P100" i="10"/>
  <c r="P102" i="10" s="1"/>
  <c r="P117" i="10" s="1"/>
  <c r="P91" i="10"/>
  <c r="P140" i="10"/>
  <c r="N170" i="10"/>
  <c r="P176" i="10"/>
  <c r="P178" i="10"/>
  <c r="O176" i="10"/>
  <c r="O178" i="10"/>
  <c r="M178" i="10"/>
  <c r="M138" i="10" s="1"/>
  <c r="M108" i="10" s="1"/>
  <c r="M115" i="10" s="1"/>
  <c r="X6" i="17" s="1"/>
  <c r="M176" i="10"/>
  <c r="M136" i="10" s="1"/>
  <c r="M107" i="10" s="1"/>
  <c r="N178" i="10"/>
  <c r="N176" i="10"/>
  <c r="O150" i="10"/>
  <c r="M111" i="10"/>
  <c r="M118" i="10" l="1"/>
  <c r="X8" i="17" s="1"/>
  <c r="O152" i="10"/>
  <c r="M177" i="10"/>
  <c r="N172" i="10"/>
  <c r="M132" i="10"/>
  <c r="M133" i="10" s="1"/>
  <c r="P142" i="10"/>
  <c r="O170" i="10" l="1"/>
  <c r="N175" i="10"/>
  <c r="M137" i="10"/>
  <c r="N180" i="10"/>
  <c r="M106" i="10"/>
  <c r="M110" i="10" s="1"/>
  <c r="M112" i="10" s="1"/>
  <c r="M113" i="10" s="1"/>
  <c r="X7" i="17" s="1"/>
  <c r="P150" i="10"/>
  <c r="P152" i="10" l="1"/>
  <c r="N111" i="10"/>
  <c r="P183" i="10"/>
  <c r="P181" i="10"/>
  <c r="N183" i="10"/>
  <c r="N138" i="10" s="1"/>
  <c r="N108" i="10" s="1"/>
  <c r="N115" i="10" s="1"/>
  <c r="Y6" i="17" s="1"/>
  <c r="N181" i="10"/>
  <c r="N136" i="10" s="1"/>
  <c r="N107" i="10" s="1"/>
  <c r="O183" i="10"/>
  <c r="O181" i="10"/>
  <c r="N177" i="10"/>
  <c r="N135" i="10"/>
  <c r="O172" i="10"/>
  <c r="N132" i="10" l="1"/>
  <c r="N133" i="10" s="1"/>
  <c r="N106" i="10" s="1"/>
  <c r="N110" i="10" s="1"/>
  <c r="N112" i="10" s="1"/>
  <c r="N113" i="10" s="1"/>
  <c r="Y7" i="17" s="1"/>
  <c r="P170" i="10"/>
  <c r="N182" i="10"/>
  <c r="O180" i="10" s="1"/>
  <c r="O182" i="10" s="1"/>
  <c r="P180" i="10" s="1"/>
  <c r="P182" i="10" s="1"/>
  <c r="O175" i="10"/>
  <c r="N118" i="10"/>
  <c r="Y8" i="17" s="1"/>
  <c r="N137" i="10" l="1"/>
  <c r="O185" i="10"/>
  <c r="O135" i="10" s="1"/>
  <c r="O177" i="10"/>
  <c r="P172" i="10"/>
  <c r="O111" i="10"/>
  <c r="P186" i="10" l="1"/>
  <c r="O186" i="10"/>
  <c r="O136" i="10" s="1"/>
  <c r="O107" i="10" s="1"/>
  <c r="O188" i="10"/>
  <c r="O138" i="10" s="1"/>
  <c r="O108" i="10" s="1"/>
  <c r="O115" i="10" s="1"/>
  <c r="Z6" i="17" s="1"/>
  <c r="P188" i="10"/>
  <c r="P175" i="10"/>
  <c r="O187" i="10" l="1"/>
  <c r="O118" i="10"/>
  <c r="Z8" i="17" s="1"/>
  <c r="O132" i="10"/>
  <c r="O133" i="10" s="1"/>
  <c r="O106" i="10" s="1"/>
  <c r="O110" i="10" s="1"/>
  <c r="O112" i="10" s="1"/>
  <c r="O113" i="10" s="1"/>
  <c r="Z7" i="17" s="1"/>
  <c r="P177" i="10"/>
  <c r="P185" i="10" l="1"/>
  <c r="P187" i="10" s="1"/>
  <c r="O137" i="10"/>
  <c r="P190" i="10"/>
  <c r="P191" i="10" s="1"/>
  <c r="P136" i="10" s="1"/>
  <c r="P107" i="10" s="1"/>
  <c r="P111" i="10"/>
  <c r="P135" i="10" l="1"/>
  <c r="P193" i="10"/>
  <c r="P138" i="10" s="1"/>
  <c r="P108" i="10" s="1"/>
  <c r="P115" i="10" s="1"/>
  <c r="AA6" i="17" s="1"/>
  <c r="P192" i="10"/>
  <c r="P137" i="10" s="1"/>
  <c r="P118" i="10" l="1"/>
  <c r="AA8" i="17" s="1"/>
  <c r="P132" i="10"/>
  <c r="P133" i="10" s="1"/>
  <c r="P106" i="10" s="1"/>
  <c r="P110" i="10" s="1"/>
  <c r="P112" i="10" s="1"/>
  <c r="P113" i="10" s="1"/>
  <c r="AA7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tc={F3E6C692-08E8-4B02-88EB-1D3C25D4708A}</author>
    <author>tc={E47E582C-AD1D-44AB-9575-86F101C09EE3}</author>
    <author>tc={E3372472-4BDD-4772-91ED-EE09A8C414B3}</author>
    <author>tc={9316B7DE-7E32-41F2-8E46-C4E0897C1F5C}</author>
    <author>tc={91435743-6AC0-4E56-9301-A093DF904185}</author>
    <author>tc={19DFF135-6490-4C3A-90C8-53756A9DF119}</author>
    <author>tc={E0F18BF9-326B-4EDC-90E0-9206B0228F82}</author>
  </authors>
  <commentList>
    <comment ref="F19" authorId="0" shapeId="0" xr:uid="{F3E6C692-08E8-4B02-88EB-1D3C25D4708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Korrigeeritud</t>
      </text>
    </comment>
    <comment ref="G19" authorId="1" shapeId="0" xr:uid="{E47E582C-AD1D-44AB-9575-86F101C09EE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Korrigeeritud</t>
      </text>
    </comment>
    <comment ref="F61" authorId="2" shapeId="0" xr:uid="{E3372472-4BDD-4772-91ED-EE09A8C414B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Korrigeeritud</t>
      </text>
    </comment>
    <comment ref="G61" authorId="3" shapeId="0" xr:uid="{9316B7DE-7E32-41F2-8E46-C4E0897C1F5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Korrigeeritud</t>
      </text>
    </comment>
    <comment ref="F82" authorId="4" shapeId="0" xr:uid="{91435743-6AC0-4E56-9301-A093DF90418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Korrigeeritud</t>
      </text>
    </comment>
    <comment ref="G82" authorId="5" shapeId="0" xr:uid="{19DFF135-6490-4C3A-90C8-53756A9DF11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Korrigeeritud</t>
      </text>
    </comment>
    <comment ref="L148" authorId="6" shapeId="0" xr:uid="{E0F18BF9-326B-4EDC-90E0-9206B0228F8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Valdmäe+Kokasauna KOVEKi kliendid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tc={0E57D95A-3DE7-44D5-9A3F-03B51183FA49}</author>
    <author>tc={912E7E47-F8BF-49DD-A8ED-0FD2E99C6349}</author>
    <author>tc={E4DACBCD-D51C-4CFD-85BB-BF327E314749}</author>
    <author>tc={286D5791-FB67-4414-9C39-11905413A52B}</author>
    <author>tc={25B71F4E-5266-4E30-BE59-95E71EBBE26A}</author>
  </authors>
  <commentList>
    <comment ref="G53" authorId="0" shapeId="0" xr:uid="{0E57D95A-3DE7-44D5-9A3F-03B51183FA4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RKA taotlusest</t>
      </text>
    </comment>
    <comment ref="H63" authorId="1" shapeId="0" xr:uid="{912E7E47-F8BF-49DD-A8ED-0FD2E99C634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199 in, kui võtta hinnang keskmise ühiktarbimise (88 l/d) alusel eelmise aasta müügimahtude järgi.</t>
      </text>
    </comment>
    <comment ref="H65" authorId="2" shapeId="0" xr:uid="{E4DACBCD-D51C-4CFD-85BB-BF327E31474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Vana ÜVKA andmed</t>
      </text>
    </comment>
    <comment ref="A74" authorId="3" shapeId="0" xr:uid="{286D5791-FB67-4414-9C39-11905413A52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01.01.2023</t>
      </text>
    </comment>
    <comment ref="X80" authorId="4" shapeId="0" xr:uid="{25B71F4E-5266-4E30-BE59-95E71EBBE26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Veel liitumata kinnistute hulgast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tc={220C853F-38A6-4012-9481-B52ACC09896F}</author>
    <author>tc={99D4D81E-B458-4192-BB90-70A3EE60AA45}</author>
    <author>tc={B63D304C-D8F7-4B34-BF72-98F85BA10483}</author>
    <author>tc={392C2C4D-9B28-4F4E-B10B-6B702CAB73C0}</author>
  </authors>
  <commentList>
    <comment ref="E38" authorId="0" shapeId="0" xr:uid="{220C853F-38A6-4012-9481-B52ACC09896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Maja vundamendist kaugemale toomine</t>
      </text>
    </comment>
    <comment ref="H39" authorId="1" shapeId="0" xr:uid="{99D4D81E-B458-4192-BB90-70A3EE60AA4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350€ (Terrati hinnang) + 4 siibrisõlme</t>
      </text>
    </comment>
    <comment ref="E182" authorId="2" shapeId="0" xr:uid="{B63D304C-D8F7-4B34-BF72-98F85BA1048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100% liitumistasudest</t>
      </text>
    </comment>
    <comment ref="G252" authorId="3" shapeId="0" xr:uid="{392C2C4D-9B28-4F4E-B10B-6B702CAB73C0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2x1615+630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tc={76069402-1BAA-43B2-8DCC-DF541CC073EA}</author>
  </authors>
  <commentList>
    <comment ref="R19" authorId="0" shapeId="0" xr:uid="{76069402-1BAA-43B2-8DCC-DF541CC073E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hinnaguliselt ol.ol vooluhulgad vs tehnopargi lähiümbrusest lisanduvad mahud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tc={D1DFBC45-1EB9-492D-A191-16C78D7AC557}</author>
  </authors>
  <commentList>
    <comment ref="H104" authorId="0" shapeId="0" xr:uid="{D1DFBC45-1EB9-492D-A191-16C78D7AC55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Tänassilma tehnopargi ühtlustusmahuti+torustikud - ca 50% liitumistasudest.</t>
      </text>
    </comment>
  </commentList>
</comments>
</file>

<file path=xl/sharedStrings.xml><?xml version="1.0" encoding="utf-8"?>
<sst xmlns="http://schemas.openxmlformats.org/spreadsheetml/2006/main" count="3902" uniqueCount="1082">
  <si>
    <t>Nimetus</t>
  </si>
  <si>
    <t>Ühik</t>
  </si>
  <si>
    <t>Kogus</t>
  </si>
  <si>
    <t>Ühikhind, €</t>
  </si>
  <si>
    <t>Maksumus, €</t>
  </si>
  <si>
    <t>tk</t>
  </si>
  <si>
    <t>Asula</t>
  </si>
  <si>
    <t>Kommentaar</t>
  </si>
  <si>
    <t>Programm</t>
  </si>
  <si>
    <t>m</t>
  </si>
  <si>
    <t>Veetorustike rekonstrueerimine</t>
  </si>
  <si>
    <t>m2</t>
  </si>
  <si>
    <t>KOKKU</t>
  </si>
  <si>
    <t>Tegevus</t>
  </si>
  <si>
    <t>Tüüp</t>
  </si>
  <si>
    <t>vesi</t>
  </si>
  <si>
    <t>tuletõrje</t>
  </si>
  <si>
    <t>kanal</t>
  </si>
  <si>
    <t>sade</t>
  </si>
  <si>
    <t>Investeeringuprojekt</t>
  </si>
  <si>
    <t>Kokku</t>
  </si>
  <si>
    <t>VEEVARUSTUS</t>
  </si>
  <si>
    <t>Veevarustus kokku</t>
  </si>
  <si>
    <t>Kanalisatsioon kokku</t>
  </si>
  <si>
    <t>ÜVK INVESTEERINGUD KOKKU</t>
  </si>
  <si>
    <t>SADEMEVEESÜSTEEMID</t>
  </si>
  <si>
    <t>Tuletõrje veevarustus kokku</t>
  </si>
  <si>
    <t>TULETÕRJE VEEVARUSTUS</t>
  </si>
  <si>
    <t>Joogi- ja tuletõrje veevarustus kokku</t>
  </si>
  <si>
    <t>Reoveekanalisatsioon ja sademeveesüsteemid kokku</t>
  </si>
  <si>
    <t>JOOGIVEEVARUSTUS</t>
  </si>
  <si>
    <t>Koondtabel asulate kaupa</t>
  </si>
  <si>
    <t>Koondtabel investeeringute kaupa</t>
  </si>
  <si>
    <t>Lühiajalise investeeringuprogrammi maksumus, €</t>
  </si>
  <si>
    <t>Pikaajalise investeeringuprogrammi maksumus, €</t>
  </si>
  <si>
    <t>Lühiajaline kokku</t>
  </si>
  <si>
    <t>Pikaajaline kokku</t>
  </si>
  <si>
    <t>Kõik piirkonnad</t>
  </si>
  <si>
    <t>VESI</t>
  </si>
  <si>
    <t>KANAL</t>
  </si>
  <si>
    <t>REOVEEKANALISATSIOON</t>
  </si>
  <si>
    <t>a</t>
  </si>
  <si>
    <t>Vana ÜVKA/ankeedid</t>
  </si>
  <si>
    <t>KANALISATSIOON</t>
  </si>
  <si>
    <t>RAHVASTIKUPROGNOOS 2020-2080 (RV088)</t>
  </si>
  <si>
    <t>Kontroll-lahtrid sõnumitega "OK" või "VIGA" viitavad võimalikele erisustele "Inv" lehega (juhul kui on mingi jama ja summa ei tule kokku sama)</t>
  </si>
  <si>
    <t>€/m3</t>
  </si>
  <si>
    <t>Tarbijahinnaindeks*</t>
  </si>
  <si>
    <t>Piirkonna leibkonnaliikme keskmine sissetulek**</t>
  </si>
  <si>
    <t>Liitumisvõimalusega elanikud</t>
  </si>
  <si>
    <t>INVESTEERINGUD</t>
  </si>
  <si>
    <t>Üldkulud</t>
  </si>
  <si>
    <t>Üldkuludega, €</t>
  </si>
  <si>
    <t>25a investeering</t>
  </si>
  <si>
    <t>Investeeringu jääkväärtus</t>
  </si>
  <si>
    <t>Investeeringu kulum</t>
  </si>
  <si>
    <t>Joogivee hinnas kajastuvad investeeringud aastate kaupa</t>
  </si>
  <si>
    <t>Kanalisatsiooniteenuse hinnas kajastuvad investeeringud aastate kaupa</t>
  </si>
  <si>
    <t>6.</t>
  </si>
  <si>
    <t>Veevarustuse teenust kasutavate elanike arv</t>
  </si>
  <si>
    <t>Kanalisatsiooni teenust kasutavate elanike arv</t>
  </si>
  <si>
    <t>Minimaalne rahajääk (2 kuu käive)</t>
  </si>
  <si>
    <t>Vee-ettevõtlusega seotud tegevuskulu, €/a</t>
  </si>
  <si>
    <t>RAHAVOOG ÄRITEGEVUSEST</t>
  </si>
  <si>
    <t>RAHAVOOG INVESTEERINGUTEST</t>
  </si>
  <si>
    <t>Laenude laekumine</t>
  </si>
  <si>
    <t>Laenude tagasimaksed</t>
  </si>
  <si>
    <t>Intressikulud</t>
  </si>
  <si>
    <t>RAHAVOOG FINANTSTEGEVUSEST</t>
  </si>
  <si>
    <t>Raha perioodi alguses</t>
  </si>
  <si>
    <t>Raha muutus</t>
  </si>
  <si>
    <t>EBITDA</t>
  </si>
  <si>
    <t xml:space="preserve">Laenuteeninduse kattekordaja (DSCR) </t>
  </si>
  <si>
    <t>Reguleeritava põhivara jääkväärtus</t>
  </si>
  <si>
    <t>Käibekapital</t>
  </si>
  <si>
    <t>Põhjendatud tulukus - VESI</t>
  </si>
  <si>
    <t>Põhjendatud tulukus - KANAL</t>
  </si>
  <si>
    <t>Põhjendatud müügitulu, tuh.€</t>
  </si>
  <si>
    <t>Kulum - VESI</t>
  </si>
  <si>
    <t>Jääkmaksumus - VESI</t>
  </si>
  <si>
    <t>Kulum - KANAL</t>
  </si>
  <si>
    <t>Jääkmaksumus - KANAL</t>
  </si>
  <si>
    <t>Reguleeritava vara jääkväärtus (€) - VESI</t>
  </si>
  <si>
    <t>Reguleeritava vara jääkväärtus (€) - KANAL</t>
  </si>
  <si>
    <t>LAENUD</t>
  </si>
  <si>
    <t>OLEMASOLEVAD LAENUD</t>
  </si>
  <si>
    <t>Laenu jääk per. algul</t>
  </si>
  <si>
    <t>Tagasimakse</t>
  </si>
  <si>
    <t>Laenu jääk per. lõpus</t>
  </si>
  <si>
    <t>Intressid</t>
  </si>
  <si>
    <t>Võetav laen</t>
  </si>
  <si>
    <t>MAHUD</t>
  </si>
  <si>
    <t>5.1.</t>
  </si>
  <si>
    <t xml:space="preserve">     Muud tulud</t>
  </si>
  <si>
    <t>5.2.</t>
  </si>
  <si>
    <t>5.2.1.</t>
  </si>
  <si>
    <t>5.2.1.1.</t>
  </si>
  <si>
    <t>5.2.1.2.</t>
  </si>
  <si>
    <t>5.2.1.3.</t>
  </si>
  <si>
    <t>5.2.1.4.</t>
  </si>
  <si>
    <t>5.2.1.5.</t>
  </si>
  <si>
    <t>sh transpordikulu ja sõidukite majandamine, EUR/a</t>
  </si>
  <si>
    <t>5.2.1.6.</t>
  </si>
  <si>
    <t>sh muud kulud kokku, EUR/a</t>
  </si>
  <si>
    <t>5.2.2.</t>
  </si>
  <si>
    <t>5.2.2.1.</t>
  </si>
  <si>
    <t>sh omafinatseeringuga soetatud vara amortisatsioonikulu, EUR/a</t>
  </si>
  <si>
    <t>sh omafinatseeringu kulum - VESI, EUR/a</t>
  </si>
  <si>
    <t>5.3.</t>
  </si>
  <si>
    <t>ÜVK-teenusega seotud vara jääkväärtus</t>
  </si>
  <si>
    <t>5.3.1.</t>
  </si>
  <si>
    <t>sh omafinatseeringuga soetatud vara jääkväärtus</t>
  </si>
  <si>
    <t>sh omafinatseeringu jääkväärtus - VESI, EUR</t>
  </si>
  <si>
    <t>5.4.</t>
  </si>
  <si>
    <t>ÜVK rajatiste investeeringuteks võetud tagasimaksmata laenu summa, EUR</t>
  </si>
  <si>
    <t>5.4.1.</t>
  </si>
  <si>
    <t>5.4.2.</t>
  </si>
  <si>
    <t>TÖÖTAJAD</t>
  </si>
  <si>
    <t>6.1.</t>
  </si>
  <si>
    <t>ÜVK teenusega seotud täistöökohtade arv</t>
  </si>
  <si>
    <t>6.1.1.</t>
  </si>
  <si>
    <t>sh juhtivtöötajate arv (täistöökohad)</t>
  </si>
  <si>
    <t>6.1.2.</t>
  </si>
  <si>
    <t>sh tööliste ja spetsialistide arv (täistöökohad)</t>
  </si>
  <si>
    <t>Vee toodang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</si>
  <si>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</t>
    </r>
  </si>
  <si>
    <t>Vee tarbimine kokku</t>
  </si>
  <si>
    <t>Vee tarbimine elanike poolt</t>
  </si>
  <si>
    <t>Ühiktarbimine</t>
  </si>
  <si>
    <t>l/d el kohta</t>
  </si>
  <si>
    <t>Arvestamata vesi</t>
  </si>
  <si>
    <t>%</t>
  </si>
  <si>
    <t>Reovee kogus puhastile</t>
  </si>
  <si>
    <t>Reovesi tarbijatelt</t>
  </si>
  <si>
    <t>Reovesi elanikelt</t>
  </si>
  <si>
    <t>Infiltratsioon</t>
  </si>
  <si>
    <t>Elanike arv</t>
  </si>
  <si>
    <t>in</t>
  </si>
  <si>
    <t>Eeldused ja algandmed</t>
  </si>
  <si>
    <t>Eesti keskmine ühiktarbimine</t>
  </si>
  <si>
    <t>L/in/ööp</t>
  </si>
  <si>
    <t xml:space="preserve"> --&gt; m3/a veehinna prognoosi jaoks</t>
  </si>
  <si>
    <t xml:space="preserve"> --&gt; m3/d wordi tabeli jaoks</t>
  </si>
  <si>
    <t>Investeeringud - OMAFIN</t>
  </si>
  <si>
    <t>Olemasolev põhivara - OMAFIN</t>
  </si>
  <si>
    <t>Tegevuskulud</t>
  </si>
  <si>
    <t>Veevarustuse müügimaht kokku</t>
  </si>
  <si>
    <t>Kanalisatsiooniteenuse müügimaht kokku</t>
  </si>
  <si>
    <t>m3/a</t>
  </si>
  <si>
    <t>Veehinna prognoos</t>
  </si>
  <si>
    <t>Tegevuskulu</t>
  </si>
  <si>
    <t>Tööjõukulud - VESI</t>
  </si>
  <si>
    <t>Opereerimiskulud - muutuvkulud - VESI</t>
  </si>
  <si>
    <t>Opereerimiskulud - püsikulud - VESI</t>
  </si>
  <si>
    <t>Tööjõukulud - KANAL</t>
  </si>
  <si>
    <t>Opereerimiskulud - püsikulud - KANAL</t>
  </si>
  <si>
    <t>Tegevuskulud - VESI</t>
  </si>
  <si>
    <t>Tegevuskulud - KANAL</t>
  </si>
  <si>
    <t>Veetariif, km-ta, TULUKUSEGA</t>
  </si>
  <si>
    <t>Kanalisatsioonitariif, km-ta, TULUKUSEGA</t>
  </si>
  <si>
    <t>Komplekshind, (km-ga), TULUKUSEGA</t>
  </si>
  <si>
    <t>Hinnatõus</t>
  </si>
  <si>
    <t>Leibkonnaliikme sissetulek</t>
  </si>
  <si>
    <t>Leibkonnaliikme kulutus ÜVK teenusele</t>
  </si>
  <si>
    <t>ÜVK teenuse kulu osakaal sissetulekust</t>
  </si>
  <si>
    <t>€/kuu</t>
  </si>
  <si>
    <t>Lubatud tulukus</t>
  </si>
  <si>
    <t>Reguleeritava põhivara kulum</t>
  </si>
  <si>
    <t>Kapitalikulud</t>
  </si>
  <si>
    <t>Muud tulud</t>
  </si>
  <si>
    <t>ÜVK teenuse müügitulu</t>
  </si>
  <si>
    <t>Kogutulu</t>
  </si>
  <si>
    <t>Tulu joogiveeteenuselt</t>
  </si>
  <si>
    <t>Tulu kanalisatsiooniteenuselt</t>
  </si>
  <si>
    <t>Konkurentsiameti metoodika</t>
  </si>
  <si>
    <t>Rahavoog (€)</t>
  </si>
  <si>
    <t>Veehinna komponendid (€/m3)</t>
  </si>
  <si>
    <t>Reguleeritava vara kulum kokku - VESI</t>
  </si>
  <si>
    <t>Reguleeritava vara kulum kokku - KANAL</t>
  </si>
  <si>
    <t>Kapitalikulud - VESI</t>
  </si>
  <si>
    <t>Varade eluiga</t>
  </si>
  <si>
    <t>Am.periood</t>
  </si>
  <si>
    <t>NB! See leht on lingitud "Inv" lehega! Ära siin midagi muuda, tee parandusi "Inv" lehel.</t>
  </si>
  <si>
    <t>NB! Täida filtriread koondtabeli jaoks!!!</t>
  </si>
  <si>
    <t>Omatarve</t>
  </si>
  <si>
    <t>Tööjõud</t>
  </si>
  <si>
    <t>sh elanikud</t>
  </si>
  <si>
    <t>sh ettevõtted, asutused, tööstus</t>
  </si>
  <si>
    <t>Lubatud tulukuse määr (WACC)</t>
  </si>
  <si>
    <t>Kehtiv veehind (ilma KM)</t>
  </si>
  <si>
    <t>Kehtiv kanalisatsiooni hind (ilma KM)</t>
  </si>
  <si>
    <t xml:space="preserve"> &lt;-- ol.ol PV amortiseerumine lihtsustatud meetodiga (iga aasta võrdne summa jääkväärtusest maha)</t>
  </si>
  <si>
    <t xml:space="preserve"> &lt;-- ainult ÜVK teenusega seotud kulu</t>
  </si>
  <si>
    <t>Laenu periood</t>
  </si>
  <si>
    <t>Laenu intress</t>
  </si>
  <si>
    <t>Laenu osakaal investeeringus</t>
  </si>
  <si>
    <t>Edasiste investeeringutega seotud laenud</t>
  </si>
  <si>
    <t>Max laen (80%)</t>
  </si>
  <si>
    <t>Vajaminev laen</t>
  </si>
  <si>
    <t>Raha perioodi lõpus (kum rahavoog)</t>
  </si>
  <si>
    <t>Investeering</t>
  </si>
  <si>
    <t>Sademeveesüsteemid kokku</t>
  </si>
  <si>
    <t xml:space="preserve"> &lt;-- hetkel nii, et iga aasta võetakse iga investeeringuga laenu juurde kui vaja on</t>
  </si>
  <si>
    <t>Keskmine ühiktarbimine - KANAL</t>
  </si>
  <si>
    <t>Keskmine ühiktarbimine - VESI</t>
  </si>
  <si>
    <t>Kapitalikulud - KANAL</t>
  </si>
  <si>
    <t>NB! Täida eluiga koondtabeli jaoks ja pane kõik investeeringud mingi(te) aasta(te) peale!!!</t>
  </si>
  <si>
    <t>NB! Täida eluiga koondtabeli jaoks ja pane kõik investeeringud mingi(te) aasta(te) peale!!! AASTAID MUUTES MITTE LOHISTADA.</t>
  </si>
  <si>
    <t>Lühiajaline programm, €</t>
  </si>
  <si>
    <t>Pikaajaline programm, €</t>
  </si>
  <si>
    <t>Koondtabel aastate ja asulate kaupa</t>
  </si>
  <si>
    <t>Koondtabel aastate ja investeeringutüübi kaupa</t>
  </si>
  <si>
    <t>Tuletõrje veevarustus</t>
  </si>
  <si>
    <t>Reoveekanalisatsioon</t>
  </si>
  <si>
    <t>Sademeveesüsteemid</t>
  </si>
  <si>
    <t>Joogiveevarustus</t>
  </si>
  <si>
    <t>KASUM</t>
  </si>
  <si>
    <t>TULUKUS</t>
  </si>
  <si>
    <t>Komplekshind, (km-ta), TULUKUSEGA</t>
  </si>
  <si>
    <t>ÜVKA 2024-2027</t>
  </si>
  <si>
    <t>ÜVKA 2028-2035</t>
  </si>
  <si>
    <t>2023 I pool</t>
  </si>
  <si>
    <t>Liitunud elanikud</t>
  </si>
  <si>
    <t>Liitunud LP-d</t>
  </si>
  <si>
    <t>Kõik LP-d</t>
  </si>
  <si>
    <t>Elanikud VEKA 2022</t>
  </si>
  <si>
    <t>ÜVK tarbijate osakaal, % (VEKA 2022)</t>
  </si>
  <si>
    <t>ÜVK tarbijad, in (VEKA 2022)</t>
  </si>
  <si>
    <t>Registreeritud lanike arv (valla kodulehelt)</t>
  </si>
  <si>
    <t>Elamumaa kinnistute arv (Vallast)</t>
  </si>
  <si>
    <t>Teoreetiline elanike arv</t>
  </si>
  <si>
    <t>Juuliku küla</t>
  </si>
  <si>
    <t>sh Murumäe asum</t>
  </si>
  <si>
    <t>Jälgimäe küla</t>
  </si>
  <si>
    <t>Kajamaa küla</t>
  </si>
  <si>
    <t>Kasemetsa küla</t>
  </si>
  <si>
    <t>sh Kasemetsa(Saku)</t>
  </si>
  <si>
    <t>Kiisa alevik</t>
  </si>
  <si>
    <t>Kirdalu küla</t>
  </si>
  <si>
    <t>Kurtna küla</t>
  </si>
  <si>
    <t>Palju kortereid</t>
  </si>
  <si>
    <t>Lokuti  küla</t>
  </si>
  <si>
    <t>Siin tuleb ilmselt lähtuda reg. elanike arvust kuna ala on tohutu lahmakas.</t>
  </si>
  <si>
    <t>Metsanurme küla</t>
  </si>
  <si>
    <t>Metsanurme-Kuresoo</t>
  </si>
  <si>
    <t>Männiku küla</t>
  </si>
  <si>
    <t>Rahula küla</t>
  </si>
  <si>
    <t>Roobuka küla</t>
  </si>
  <si>
    <t>Saku alevik</t>
  </si>
  <si>
    <t>Palju korterid</t>
  </si>
  <si>
    <t>Saue küla</t>
  </si>
  <si>
    <t>Saustinõmme küla</t>
  </si>
  <si>
    <t>Tagadi küla</t>
  </si>
  <si>
    <t>Tammemäe küla</t>
  </si>
  <si>
    <t>Tõdva küla</t>
  </si>
  <si>
    <t>Tänassilma küla</t>
  </si>
  <si>
    <t>Tootmispiirkond!</t>
  </si>
  <si>
    <t>Üksnurme küla</t>
  </si>
  <si>
    <t>Leibkonna suurus</t>
  </si>
  <si>
    <t>sh Üksnurme(Saku)</t>
  </si>
  <si>
    <t>ASULATE KAUPA</t>
  </si>
  <si>
    <t>REOVEEKOGUMISALADE JA VEEVÕRGUPIIRKONDADE KAUPA</t>
  </si>
  <si>
    <t>RKA</t>
  </si>
  <si>
    <t>Vee-ettevõtja</t>
  </si>
  <si>
    <t>Elanike arv [in]</t>
  </si>
  <si>
    <t>[in]</t>
  </si>
  <si>
    <t>[%]</t>
  </si>
  <si>
    <t>Veevärk</t>
  </si>
  <si>
    <t>Saku</t>
  </si>
  <si>
    <t>Saku Maja</t>
  </si>
  <si>
    <t xml:space="preserve"> - (Saku)</t>
  </si>
  <si>
    <t>Saku aleviku lähiümbrus (Pähklimäe, Tammemäe, Üksnurme ja Juuliku küla Saku RKA-le jääv ala)</t>
  </si>
  <si>
    <t>Saku / Murumäe</t>
  </si>
  <si>
    <t>Saku Maja
*Murumäel lokaalsed süsteemid</t>
  </si>
  <si>
    <t>Murumäe</t>
  </si>
  <si>
    <t>Murumäe asum (Juuliku küla)</t>
  </si>
  <si>
    <t>Saku /
Keila jõe</t>
  </si>
  <si>
    <t>Keila-Jõe</t>
  </si>
  <si>
    <t>Keila jõe</t>
  </si>
  <si>
    <t>Metsanurme küla - Saku Maja veepiirk</t>
  </si>
  <si>
    <t>Saku Maja / MTÜ AÜ Kuresoo</t>
  </si>
  <si>
    <t>Metsanurme küla - MTÜ AÜ Kuresoo veepiirk</t>
  </si>
  <si>
    <t>Männiku</t>
  </si>
  <si>
    <t xml:space="preserve"> - (Tallinn ja lähiümbrus)</t>
  </si>
  <si>
    <t xml:space="preserve"> -</t>
  </si>
  <si>
    <t>Saku Maja veevärk / lokaalsed kanalisatsioonisüsteemid</t>
  </si>
  <si>
    <t>RKA puudub</t>
  </si>
  <si>
    <t>lokaalsed süsteemid (Kanama KÜ)</t>
  </si>
  <si>
    <t>MTÜ Rahula Infra veevärk / lokaalsed kanalisatsioonisüsteemid</t>
  </si>
  <si>
    <t>Kajamaa-Tõdva</t>
  </si>
  <si>
    <t>Kajamaa ja Tõdva küla</t>
  </si>
  <si>
    <t>Kajama-Tõdva</t>
  </si>
  <si>
    <t>Saku Maja*</t>
  </si>
  <si>
    <t>Lokuti küla</t>
  </si>
  <si>
    <t>lokaalsed süsteemid</t>
  </si>
  <si>
    <t>Summa kogusummast Kogus</t>
  </si>
  <si>
    <t>PK Tase 0</t>
  </si>
  <si>
    <t>1-PAAK-ERA</t>
  </si>
  <si>
    <t>1-PAAK-JUR</t>
  </si>
  <si>
    <t>(tühi)</t>
  </si>
  <si>
    <t>Üldkokkuvõte</t>
  </si>
  <si>
    <t>JUUL-ERA</t>
  </si>
  <si>
    <t>JUUL-JUR</t>
  </si>
  <si>
    <t>JUUL-KAD</t>
  </si>
  <si>
    <t>JUUL-OMA</t>
  </si>
  <si>
    <t>JUUL-TOO</t>
  </si>
  <si>
    <t>JÄLG-ERA</t>
  </si>
  <si>
    <t>JÄLG-JUR</t>
  </si>
  <si>
    <t>JÄLG-KAD</t>
  </si>
  <si>
    <t>JÄLG-OMA</t>
  </si>
  <si>
    <t>JÄLG-TOO</t>
  </si>
  <si>
    <t>KANN-ERA</t>
  </si>
  <si>
    <t>KANN-JUR</t>
  </si>
  <si>
    <t>KANN-KAD</t>
  </si>
  <si>
    <t>KANN-OMA</t>
  </si>
  <si>
    <t>KANN-TOO</t>
  </si>
  <si>
    <t>KASE-ERA</t>
  </si>
  <si>
    <t>KASE-JUR</t>
  </si>
  <si>
    <t>KASE-KAD</t>
  </si>
  <si>
    <t>KASE-OMA</t>
  </si>
  <si>
    <t>KASE-TOO</t>
  </si>
  <si>
    <t>KUNG-ERA</t>
  </si>
  <si>
    <t>KUNG-JUR</t>
  </si>
  <si>
    <t>KUNG-KAD</t>
  </si>
  <si>
    <t>KUNG-OMA</t>
  </si>
  <si>
    <t>KUNG-TOO</t>
  </si>
  <si>
    <t>KURT-ERA</t>
  </si>
  <si>
    <t>KURT-JUR</t>
  </si>
  <si>
    <t>KURT-KAD</t>
  </si>
  <si>
    <t>KURT-OMA</t>
  </si>
  <si>
    <t>KURT-TOO</t>
  </si>
  <si>
    <t>KURTU-ERA</t>
  </si>
  <si>
    <t>KURTU-JUR</t>
  </si>
  <si>
    <t>KURTU-KAD</t>
  </si>
  <si>
    <t>KURTU-OMA</t>
  </si>
  <si>
    <t>KURTU-TOO</t>
  </si>
  <si>
    <t>LEP-ERA</t>
  </si>
  <si>
    <t>LEP-JUR</t>
  </si>
  <si>
    <t>LEP-KAD</t>
  </si>
  <si>
    <t>LEP-OMA</t>
  </si>
  <si>
    <t>LEP-TOO</t>
  </si>
  <si>
    <t>LOK-ERA</t>
  </si>
  <si>
    <t>LOK-JUR</t>
  </si>
  <si>
    <t>LOK-KAD</t>
  </si>
  <si>
    <t>LOK-OMA</t>
  </si>
  <si>
    <t>LOK-TOO</t>
  </si>
  <si>
    <t>METS-ERA</t>
  </si>
  <si>
    <t>METS-JUR</t>
  </si>
  <si>
    <t>METS-KAD</t>
  </si>
  <si>
    <t>METS-OMA</t>
  </si>
  <si>
    <t>METS-TOO</t>
  </si>
  <si>
    <t>MÄNNK-ERA</t>
  </si>
  <si>
    <t>MÄNNK-JUR</t>
  </si>
  <si>
    <t>MÄNNK-KAD</t>
  </si>
  <si>
    <t>MÄNNK-OMA</t>
  </si>
  <si>
    <t>MÄNNK-TOO</t>
  </si>
  <si>
    <t>MÄNNL-ERA</t>
  </si>
  <si>
    <t>MÄNNL-JUR</t>
  </si>
  <si>
    <t>MÄNNL-KAD</t>
  </si>
  <si>
    <t>MÄNNL-OMA</t>
  </si>
  <si>
    <t>MÄNNL-TOO</t>
  </si>
  <si>
    <t>NURM-ERA</t>
  </si>
  <si>
    <t>NURM-JUR</t>
  </si>
  <si>
    <t>NURM-KAD</t>
  </si>
  <si>
    <t>NURM-OMA</t>
  </si>
  <si>
    <t>NURM-TOO</t>
  </si>
  <si>
    <t>ROOB-ERA</t>
  </si>
  <si>
    <t>ROOB-JUR</t>
  </si>
  <si>
    <t>ROOB-KAD</t>
  </si>
  <si>
    <t>ROOB-OMA</t>
  </si>
  <si>
    <t>ROOB-TOO</t>
  </si>
  <si>
    <t>SAUSTI-ERA</t>
  </si>
  <si>
    <t>SAUSTI-JUR</t>
  </si>
  <si>
    <t>SAUSTI-KAD</t>
  </si>
  <si>
    <t>SAUSTI-OMA</t>
  </si>
  <si>
    <t>SAUSTI-TOO</t>
  </si>
  <si>
    <t>SPRI-ERA</t>
  </si>
  <si>
    <t>SPRI-JUR</t>
  </si>
  <si>
    <t>SPRI-KAD</t>
  </si>
  <si>
    <t>SPRI-OMA</t>
  </si>
  <si>
    <t>SPRI-TOO</t>
  </si>
  <si>
    <t>ÜKS-ERA</t>
  </si>
  <si>
    <t>ÜKS-JUR</t>
  </si>
  <si>
    <t>ÜKS-KAD</t>
  </si>
  <si>
    <t>ÜKS-OMA</t>
  </si>
  <si>
    <t>ÜKS-TOO</t>
  </si>
  <si>
    <t>TEAD-ERA</t>
  </si>
  <si>
    <t>TEAD-JUR</t>
  </si>
  <si>
    <t>TEAD-KAD</t>
  </si>
  <si>
    <t>TEAD-OMA</t>
  </si>
  <si>
    <t>TEAD-TOO</t>
  </si>
  <si>
    <t>TODERA</t>
  </si>
  <si>
    <t>TODJUR</t>
  </si>
  <si>
    <t>TODKAD</t>
  </si>
  <si>
    <t>TODOMA</t>
  </si>
  <si>
    <t>TODTOO</t>
  </si>
  <si>
    <t>TÄNASK-ERA</t>
  </si>
  <si>
    <t>TÄNASK-JUR</t>
  </si>
  <si>
    <t>TÄNASK-KAD</t>
  </si>
  <si>
    <t>TÄNASK-OMA</t>
  </si>
  <si>
    <t>TÄNASK-TOO</t>
  </si>
  <si>
    <t>TÄNAST-ERA</t>
  </si>
  <si>
    <t>TÄNAST-JUR</t>
  </si>
  <si>
    <t>TÄNAST-KAD</t>
  </si>
  <si>
    <t>TÄNAST-OMA</t>
  </si>
  <si>
    <t>TÄNAST-TOO</t>
  </si>
  <si>
    <t>PAAK</t>
  </si>
  <si>
    <t>ERA</t>
  </si>
  <si>
    <t>JUR</t>
  </si>
  <si>
    <t>JUUL</t>
  </si>
  <si>
    <t>KAD</t>
  </si>
  <si>
    <t>OMA</t>
  </si>
  <si>
    <t>TOO</t>
  </si>
  <si>
    <t>JÄLG</t>
  </si>
  <si>
    <t>KANN</t>
  </si>
  <si>
    <t>KASE</t>
  </si>
  <si>
    <t>KUNG</t>
  </si>
  <si>
    <t>KURT</t>
  </si>
  <si>
    <t>KURTU</t>
  </si>
  <si>
    <t>LEP</t>
  </si>
  <si>
    <t>LOK</t>
  </si>
  <si>
    <t>METS</t>
  </si>
  <si>
    <t>MÄNNK</t>
  </si>
  <si>
    <t>MÄNNL</t>
  </si>
  <si>
    <t>NURM</t>
  </si>
  <si>
    <t>ROOB</t>
  </si>
  <si>
    <t>SAUSTI</t>
  </si>
  <si>
    <t>SPRI</t>
  </si>
  <si>
    <t>ÜKS</t>
  </si>
  <si>
    <t>TEAD</t>
  </si>
  <si>
    <t>TÄNASK</t>
  </si>
  <si>
    <t>TÄNAST</t>
  </si>
  <si>
    <t>Saku alevik ja lähiümbrus</t>
  </si>
  <si>
    <t>Jälgimäe</t>
  </si>
  <si>
    <t>Tänassilma</t>
  </si>
  <si>
    <t>Lokuti</t>
  </si>
  <si>
    <t>Metsanurme</t>
  </si>
  <si>
    <t>Saustinõmme</t>
  </si>
  <si>
    <t>Tõdva</t>
  </si>
  <si>
    <t>Üksnurme ja Kasemetsa küla</t>
  </si>
  <si>
    <t>Saku aleviku veevärk</t>
  </si>
  <si>
    <t>Metsanurme VTJ</t>
  </si>
  <si>
    <t>AÜ Kuresoo veevärk</t>
  </si>
  <si>
    <t>Kurtna VTJ</t>
  </si>
  <si>
    <t>Tõdva VTJ</t>
  </si>
  <si>
    <t>Jälgimäe küla ja Lepiku VTJ</t>
  </si>
  <si>
    <t>Saustinõmme VTJ</t>
  </si>
  <si>
    <t>Lokuti VTJ</t>
  </si>
  <si>
    <t>Männiku küla ja Lasketiiru VTJ</t>
  </si>
  <si>
    <t>Rahula pk</t>
  </si>
  <si>
    <t>Kurtna veevärk + Metsanurga VTJ</t>
  </si>
  <si>
    <t>Piirkond</t>
  </si>
  <si>
    <t>Veeallikas</t>
  </si>
  <si>
    <t>Teaduse</t>
  </si>
  <si>
    <t>Kannikese</t>
  </si>
  <si>
    <t>Nurme</t>
  </si>
  <si>
    <t>Kurtna keskuse</t>
  </si>
  <si>
    <t>Metsanurga</t>
  </si>
  <si>
    <t>Männiku Lasketiiru</t>
  </si>
  <si>
    <t>Tänassilma I</t>
  </si>
  <si>
    <t>Tänassilma II</t>
  </si>
  <si>
    <t>Tänassilma III</t>
  </si>
  <si>
    <t>Lepiku</t>
  </si>
  <si>
    <t>Üllari andmed - toorvee pumpamine</t>
  </si>
  <si>
    <t>Kadri tabel</t>
  </si>
  <si>
    <t>Harju maakond</t>
  </si>
  <si>
    <t>Kadri tabel - tootmine</t>
  </si>
  <si>
    <t>Puhasti</t>
  </si>
  <si>
    <t>Paljassaare (Männiku-Tallinn)</t>
  </si>
  <si>
    <t>Paljassaare (Saku-Männiku-Tallinn)</t>
  </si>
  <si>
    <t>Paljassaare (Männiku peapumpla-Tallinn)</t>
  </si>
  <si>
    <t>Saustinõmme puhasti</t>
  </si>
  <si>
    <t>Lokuti puhasti</t>
  </si>
  <si>
    <t xml:space="preserve"> - (Kanama pk)</t>
  </si>
  <si>
    <t xml:space="preserve"> - (lokaalsed lahendused)</t>
  </si>
  <si>
    <t>kohtlahendused</t>
  </si>
  <si>
    <t xml:space="preserve"> - (lokaalsed süsteemid)</t>
  </si>
  <si>
    <t xml:space="preserve"> - (Kanama biopuhasti, kohtlahendused)</t>
  </si>
  <si>
    <t xml:space="preserve"> - (lokaalsed süsteemid, Tõdva biotiik)</t>
  </si>
  <si>
    <t xml:space="preserve"> - (Tagadi pk)</t>
  </si>
  <si>
    <t xml:space="preserve"> - (Murumäe pk)</t>
  </si>
  <si>
    <t>Keila jõe RKA (Saku Maja)</t>
  </si>
  <si>
    <t>Keila jõe RKA (AÜ Kuresoo)</t>
  </si>
  <si>
    <t>Saue</t>
  </si>
  <si>
    <t>Rahula</t>
  </si>
  <si>
    <t>KOKKU Saku Maja</t>
  </si>
  <si>
    <t>Tagadi</t>
  </si>
  <si>
    <t>Üksnurme, Kasemetsa, Metsanurme</t>
  </si>
  <si>
    <t>Kurtna, Kiisa, Roobuka</t>
  </si>
  <si>
    <t>sh AS Saku Maja</t>
  </si>
  <si>
    <t>sh MTÜ AÜ Kuresoo</t>
  </si>
  <si>
    <t>sh MTÜ Rahula Infra</t>
  </si>
  <si>
    <t>KOKKU koos Kuresoo piirkonna ja Rahulaga</t>
  </si>
  <si>
    <t>LP vesi</t>
  </si>
  <si>
    <t>LP kanal</t>
  </si>
  <si>
    <t>Elanikud VEKA 2021</t>
  </si>
  <si>
    <t>Liitumispunktid</t>
  </si>
  <si>
    <t>Vee tarbimine juriidiliste isikute poolt</t>
  </si>
  <si>
    <t>Reovesi juriidiliste isikute poolt</t>
  </si>
  <si>
    <t>Kurtna+Roobuka</t>
  </si>
  <si>
    <t>Ühisveevärgi teenus</t>
  </si>
  <si>
    <t>Liitunud</t>
  </si>
  <si>
    <t>Liitumisvõimalusega</t>
  </si>
  <si>
    <t>Ühiskanalisatsiooni teenus</t>
  </si>
  <si>
    <t>ÜV+</t>
  </si>
  <si>
    <t>ÜK+</t>
  </si>
  <si>
    <t>Prognoositav liitumisprotsent</t>
  </si>
  <si>
    <t>SAKU VALLA RAHVAARV (valla andmetel)</t>
  </si>
  <si>
    <t>Muutus, %</t>
  </si>
  <si>
    <t>Saku vald, in</t>
  </si>
  <si>
    <t>Saku veehaare</t>
  </si>
  <si>
    <t>Kurtna VTJ+Roobuka</t>
  </si>
  <si>
    <t>toodang</t>
  </si>
  <si>
    <t>tarbimine</t>
  </si>
  <si>
    <t>elanikud</t>
  </si>
  <si>
    <t>juriidilised</t>
  </si>
  <si>
    <t>ühiktarb</t>
  </si>
  <si>
    <t>omatarve</t>
  </si>
  <si>
    <t>tarbijad</t>
  </si>
  <si>
    <t>kadu</t>
  </si>
  <si>
    <r>
      <t>m</t>
    </r>
    <r>
      <rPr>
        <vertAlign val="superscript"/>
        <sz val="11"/>
        <color theme="3" tint="-0.249977111117893"/>
        <rFont val="Calibri"/>
        <family val="2"/>
        <scheme val="minor"/>
      </rPr>
      <t>3</t>
    </r>
    <r>
      <rPr>
        <sz val="11"/>
        <color theme="3" tint="-0.249977111117893"/>
        <rFont val="Calibri"/>
        <family val="2"/>
        <scheme val="minor"/>
      </rPr>
      <t>/d</t>
    </r>
  </si>
  <si>
    <t>m3/d</t>
  </si>
  <si>
    <r>
      <t>m</t>
    </r>
    <r>
      <rPr>
        <vertAlign val="superscript"/>
        <sz val="11"/>
        <color theme="2" tint="-0.749992370372631"/>
        <rFont val="Calibri"/>
        <family val="2"/>
        <scheme val="minor"/>
      </rPr>
      <t>3</t>
    </r>
    <r>
      <rPr>
        <sz val="11"/>
        <color theme="2" tint="-0.749992370372631"/>
        <rFont val="Calibri"/>
        <family val="2"/>
        <scheme val="minor"/>
      </rPr>
      <t>/d</t>
    </r>
  </si>
  <si>
    <t>Veetoodang kokku</t>
  </si>
  <si>
    <t>Omatarbe vesi</t>
  </si>
  <si>
    <t>Omatarbe reovesi</t>
  </si>
  <si>
    <t>Veekadu (lekked jms)</t>
  </si>
  <si>
    <t>Purgimine</t>
  </si>
  <si>
    <t>Korrigeerimine: Saku saab ka Metsanurmest vett ning Metsanurme ja Kurtna võrgud on samuti ühendatud</t>
  </si>
  <si>
    <t>Fekaalivedu</t>
  </si>
  <si>
    <t>Liivapüüdur</t>
  </si>
  <si>
    <t>Purgimisauto</t>
  </si>
  <si>
    <t>ASTV leping</t>
  </si>
  <si>
    <t>Reovee ärajuhtimine</t>
  </si>
  <si>
    <t>Sademevee ärajuhtimine</t>
  </si>
  <si>
    <t>Sademevesi, %</t>
  </si>
  <si>
    <t>Kanalisatsioonivesi ja purgimine kokku</t>
  </si>
  <si>
    <t>2023 prog</t>
  </si>
  <si>
    <t>Kõik kokku Tallinnasse</t>
  </si>
  <si>
    <t>Männiku peapumpla</t>
  </si>
  <si>
    <t>sh Männiku küla</t>
  </si>
  <si>
    <t>Tänassilma pumplad</t>
  </si>
  <si>
    <t>Sakust kokku koos Keila jõe RKA-ga</t>
  </si>
  <si>
    <t>Purgla</t>
  </si>
  <si>
    <t>Tammemäe RP</t>
  </si>
  <si>
    <t>Saku ja lähiümbrus</t>
  </si>
  <si>
    <t>sh Saku Õlletehas</t>
  </si>
  <si>
    <t>Keila jõe RKA-lt kokku (koos Kohilaga)</t>
  </si>
  <si>
    <t>Väikemetsa RP (Kasemetsa-Üksnurme)</t>
  </si>
  <si>
    <t>Nirgiuru RP</t>
  </si>
  <si>
    <t>Lehekese RP</t>
  </si>
  <si>
    <t>Kuresoo RP</t>
  </si>
  <si>
    <t>Kasemetsa PRVP (Kiisa-Kurtna-Roobuka + Kohila)</t>
  </si>
  <si>
    <t>Hageri tee PRVP (Roobuka+Kohila)</t>
  </si>
  <si>
    <t>sh Kohila mahud</t>
  </si>
  <si>
    <t>sh Roobuka mahud</t>
  </si>
  <si>
    <t>sh purgimine</t>
  </si>
  <si>
    <t>Üllari andmed - reoveepumplad</t>
  </si>
  <si>
    <t>Kadrilt pdf-id, ASTV-ga arveldus</t>
  </si>
  <si>
    <t>Purgimine - Kadri</t>
  </si>
  <si>
    <t>Purgimine - Üllar</t>
  </si>
  <si>
    <t>Liigvesi, sademevesi, infiltratsioon</t>
  </si>
  <si>
    <t>Kajamaa ja Tõdva</t>
  </si>
  <si>
    <t>Sausti-nõmme</t>
  </si>
  <si>
    <t>Toorvee pumpamine, m3/d</t>
  </si>
  <si>
    <t>Joogivee tarbimine, m3/d</t>
  </si>
  <si>
    <t>sh elanike tarbimine, m3/d</t>
  </si>
  <si>
    <t>sh jur isikute tarbimine, m3/d</t>
  </si>
  <si>
    <t>Arvestamata vesi, m3/d</t>
  </si>
  <si>
    <t>Arvestamata vesi, %</t>
  </si>
  <si>
    <t>Ühiktarbimine, l/d/in</t>
  </si>
  <si>
    <t>Olemasolevad veekogused (2022)</t>
  </si>
  <si>
    <t>Olemasolevad reoveekogused (2022)</t>
  </si>
  <si>
    <t>Perspektiivsed reoveekogused (2035)</t>
  </si>
  <si>
    <t>Reovee kogus puhastile, m3/d</t>
  </si>
  <si>
    <t>Reovesi tarbijatelt, m3/d</t>
  </si>
  <si>
    <t>Liigvesi ja infiltratsioon, m3/d</t>
  </si>
  <si>
    <t>Liigvesi ja infiltratsioon, %</t>
  </si>
  <si>
    <t>Tarbijate arv, in</t>
  </si>
  <si>
    <t>2024-2035 ÜVKA detailne investeeringuprogramm</t>
  </si>
  <si>
    <t>SAKU JA LÄHIÜMBRUS</t>
  </si>
  <si>
    <t>Lühiajaline programm (2024-2027)</t>
  </si>
  <si>
    <t>Veevarustuse investeeringud</t>
  </si>
  <si>
    <t>LA</t>
  </si>
  <si>
    <t>Veearvestite kauglugemissüsteemi hange</t>
  </si>
  <si>
    <t>kmpl</t>
  </si>
  <si>
    <t>GISi andmete kontrollimine ja kaasajastamine</t>
  </si>
  <si>
    <t>Siibrisõlmede rekonstrueerimine (Karikakra tn, maantee ääres, purgla juures, kergliiklustee juures ja Jõe tn)</t>
  </si>
  <si>
    <t>Kanalisatsiooni investeeringud</t>
  </si>
  <si>
    <t>Kannikese peapumpla rek (ventilatsioon ja haisulahendus)</t>
  </si>
  <si>
    <t>Kannikese peapumpla rek (kompaktpumpla elektrivarustus)</t>
  </si>
  <si>
    <t>Kannikese peapumplale varugeneraatori soetamine</t>
  </si>
  <si>
    <t>Terakese lasteaiale rasvapüüduri paigaldamine</t>
  </si>
  <si>
    <t>Sademevee settetiigi rekonstrueerimine ja rasvapüüduri paigaldamine</t>
  </si>
  <si>
    <t>Pikaajaline programm (2028-2035)</t>
  </si>
  <si>
    <t>PA</t>
  </si>
  <si>
    <t>VT rek</t>
  </si>
  <si>
    <t>Saku alevik: siibri/veemõõtja kaev D1500mm plastikust</t>
  </si>
  <si>
    <t>Saku alevik: siibrite automaatjuhtimine</t>
  </si>
  <si>
    <t>Tammemäe puurkaevpumpla lammutustööd</t>
  </si>
  <si>
    <t>peab vallalt uurima, kas on tarvis</t>
  </si>
  <si>
    <t>Kannikese peapumpla rek (võreprahi käitlus)</t>
  </si>
  <si>
    <t>Kannikese peapumpla elektri- ja automaatjuhtimissüsteemi uuendamine</t>
  </si>
  <si>
    <t>MURUMÄE</t>
  </si>
  <si>
    <t>KEILA JÕE RKA</t>
  </si>
  <si>
    <t>Kasemetsa külas Väikemetsa reoveepumpla juurdepääsutee rajamine</t>
  </si>
  <si>
    <t>MÄNNIKU</t>
  </si>
  <si>
    <t>Veetorustiku rekonstrueerimine</t>
  </si>
  <si>
    <t>Veetorustiku rajamine</t>
  </si>
  <si>
    <t>Hüdrantide rekonstrueerimine (maapealne soojustatud hüdrant)</t>
  </si>
  <si>
    <t>Majaühenduste rekonstrueerimine</t>
  </si>
  <si>
    <t>TTV</t>
  </si>
  <si>
    <t>KT rek</t>
  </si>
  <si>
    <t>Isevoolse torustiku rekonstrueerimine</t>
  </si>
  <si>
    <t>KT raj</t>
  </si>
  <si>
    <t>Isevoolse torustiku rajamine</t>
  </si>
  <si>
    <t>Survetoru rekonstrueerimine</t>
  </si>
  <si>
    <t>Survetoru rajamine</t>
  </si>
  <si>
    <t>Majaühenduste rajamine</t>
  </si>
  <si>
    <t>TÄNASSILMA</t>
  </si>
  <si>
    <t>Kungla VTJ veetöötluse rek (uus rauaärastusfilter 2 x 18 m3/h)</t>
  </si>
  <si>
    <t>Salme reoveepumpla kaugjälgimis- ja -juhtimissüsteem</t>
  </si>
  <si>
    <t>Johannese reoveepumpla kaugjälgimis- ja -juhtimissüsteem</t>
  </si>
  <si>
    <t>Urda reoveepumpla kaugjälgimis- ja -juhtimissüsteem</t>
  </si>
  <si>
    <t>Tänassilma II puurkaevpumpla rek (uue rajamine uude asukohta)</t>
  </si>
  <si>
    <t>JÄLGIMÄE</t>
  </si>
  <si>
    <t>NB! Alt.An! Transiittoru vs lokaalsed süsteemid</t>
  </si>
  <si>
    <t>Lepiku puurkaevpumpla rek (uue PK rajamine, II-a pumpla, reservuaar, veetöötlus, veemõõtja, automaatika, hoone, aed, jms)</t>
  </si>
  <si>
    <t>Lepiku piirkond: isevoolse torustiku rajamine</t>
  </si>
  <si>
    <t>Lepiku piirkond: survetoru rajamine</t>
  </si>
  <si>
    <t>Jälgimäe keskus: isevoolse torustiku rajamine</t>
  </si>
  <si>
    <t>Mõisavahe piirkond: isevoolse torustiku rajamine</t>
  </si>
  <si>
    <t>Mõisavahe piirkond: survetoru rajamine</t>
  </si>
  <si>
    <t>SAUE</t>
  </si>
  <si>
    <t>RAHULA</t>
  </si>
  <si>
    <t>SAUSTINÕMME</t>
  </si>
  <si>
    <t>NB! Alt.An! Äkki hoopis transiittoru?</t>
  </si>
  <si>
    <t>KAJAMAA-TÕDVA</t>
  </si>
  <si>
    <t>Veetoru rekonstrueerimine</t>
  </si>
  <si>
    <t>Ühendus Lokuti-Saku trassiga: isevoolse torustiku rajamine</t>
  </si>
  <si>
    <t>LOKUTI</t>
  </si>
  <si>
    <t>Lokuti puurkaevpumpla elektri- ja automaatikasüsteemi rekonstrueerimine</t>
  </si>
  <si>
    <t>TAGADI</t>
  </si>
  <si>
    <t>Survepesuauto soetamine</t>
  </si>
  <si>
    <t>Saku-Tallinn survetorustiku siibrisõlmede rekonstrueerimine</t>
  </si>
  <si>
    <t>Veemõõdukaevu paigaldamine puurkaevpumplasse</t>
  </si>
  <si>
    <t>Tänassilma tehnopark (Tänassilma I pk)</t>
  </si>
  <si>
    <t>Tänassilma küla ja Kungla VTJ</t>
  </si>
  <si>
    <t>Paljassaare (Saue-Tallinn survetoru)</t>
  </si>
  <si>
    <t>Paljassaare (Männiku-Tallinn survetoru)</t>
  </si>
  <si>
    <t>Olemasolevad ÜVK süsteemid</t>
  </si>
  <si>
    <t>ÜV</t>
  </si>
  <si>
    <t>Olemasolevad tarbijad 2022 [in]</t>
  </si>
  <si>
    <t>Perspektiivsed tarbijad 2035 [in]</t>
  </si>
  <si>
    <t>ÜK</t>
  </si>
  <si>
    <t>toodang, m3/d</t>
  </si>
  <si>
    <t>Tehnopark</t>
  </si>
  <si>
    <t>müük, m3/d</t>
  </si>
  <si>
    <t>Tänassilma tuletõrjeveepumpla rek (jälgimine-juhtimine, diiselpump, imitorustik)</t>
  </si>
  <si>
    <t>Investeeringu programmist 2024-2035 väljajäävad tegevused</t>
  </si>
  <si>
    <t>Ühikhind</t>
  </si>
  <si>
    <t>Veetoru</t>
  </si>
  <si>
    <t>Veetoru kanalisatsiooniga ühises kaevikus</t>
  </si>
  <si>
    <t>Isevoolne kanalisatsioonitoru</t>
  </si>
  <si>
    <t>Survekanalisatsioonitoru</t>
  </si>
  <si>
    <t>Reoveepumpla, &lt; 5 L/s</t>
  </si>
  <si>
    <t>Reoveepumpla, 5-20 L/s</t>
  </si>
  <si>
    <t>Reoveepumpla, &gt;20 L/s</t>
  </si>
  <si>
    <t>ÜLDKULUD</t>
  </si>
  <si>
    <t>Ühtlustusmahuti</t>
  </si>
  <si>
    <t>Ühtlustusmahuti pumpla</t>
  </si>
  <si>
    <t>Ühtlustusmahuti E&amp;A</t>
  </si>
  <si>
    <t>ERILAHENDUSEGA PUHASTI</t>
  </si>
  <si>
    <t>Reoveepumpla</t>
  </si>
  <si>
    <t>Mahutid (R/b) ja metallkonstruktsioonid</t>
  </si>
  <si>
    <t>Tehnoloogilised seadmed, sh võreseade</t>
  </si>
  <si>
    <t>Tehnoloogilised torustikud</t>
  </si>
  <si>
    <t>Välitorustikud ja kaevud, sh proovivõtukaev</t>
  </si>
  <si>
    <t>Teed, platsid, piirdeaed</t>
  </si>
  <si>
    <t>Tehnohoone</t>
  </si>
  <si>
    <t>Elekter ja automaatika</t>
  </si>
  <si>
    <t>Käivitamine ja analüüsid</t>
  </si>
  <si>
    <t>KOMPAKTPUHASTI (aktiivmuda)</t>
  </si>
  <si>
    <t>Reoveepumpla rek/raj</t>
  </si>
  <si>
    <t>Käsivõre</t>
  </si>
  <si>
    <t>Automaatvõre</t>
  </si>
  <si>
    <t>Kompaktpuhasti (aktiivmuda)</t>
  </si>
  <si>
    <t>Välitorustikud ja kaevud, sh proovivõtukaev ja väljalask</t>
  </si>
  <si>
    <t>VEETÖÖTLUSJAAMAD</t>
  </si>
  <si>
    <t>Metsatuka</t>
  </si>
  <si>
    <t>Mõisavahe</t>
  </si>
  <si>
    <t>Lepiku suur</t>
  </si>
  <si>
    <t>Saue suur</t>
  </si>
  <si>
    <t>MAX-m3/h</t>
  </si>
  <si>
    <t>Puurkaevu (päise) rekonstrueerimine</t>
  </si>
  <si>
    <t>Puurkaevu rajamine</t>
  </si>
  <si>
    <t>I-astme pumpla tehnoloogia</t>
  </si>
  <si>
    <t>Veetöötlus</t>
  </si>
  <si>
    <t>II-astme pumpla ja mahutid</t>
  </si>
  <si>
    <t>Heitveepumpla</t>
  </si>
  <si>
    <t>Piirdeaed ja juurdepääsutee</t>
  </si>
  <si>
    <t>Puurkaev</t>
  </si>
  <si>
    <t>Seadmed, torustik ja mahutid</t>
  </si>
  <si>
    <t>E&amp;A</t>
  </si>
  <si>
    <t>Majaühendus - VESI</t>
  </si>
  <si>
    <t>Majaühendus - KANAL</t>
  </si>
  <si>
    <t>Lille tn investeeringud</t>
  </si>
  <si>
    <t>Lille tn persp tulubaas</t>
  </si>
  <si>
    <t>Saku aleviku veehind</t>
  </si>
  <si>
    <t>Lille tn persp mahud - VESI</t>
  </si>
  <si>
    <t>Lille tn persp mahud - KANAL</t>
  </si>
  <si>
    <t>Saku aleviku kanalitariif</t>
  </si>
  <si>
    <t>€</t>
  </si>
  <si>
    <t>Lille tn investeeringute kulum</t>
  </si>
  <si>
    <t>Kiipsu ja Vesiroosi piirk: veetoru rajamine kanalisatsiooniga ühises kaevikus</t>
  </si>
  <si>
    <t>Kiipsu ja Vesiroosi piirk: isevoolse kanalisatsioonitoru rajamine</t>
  </si>
  <si>
    <t>Kiipsu ja Vesiroosi piirk: survekanalisatsioonitoru rajamine</t>
  </si>
  <si>
    <t>Kiipsu ja Vesiroosi piirk: kanalisatsioonipumpla rajamine</t>
  </si>
  <si>
    <t>Kiipsu-Vesiroosi investeeringud</t>
  </si>
  <si>
    <t>Kiipsu-Vesiroosi investeeringute kulum</t>
  </si>
  <si>
    <t>Kiipsu-Vesiroosi persp mahud - VESI</t>
  </si>
  <si>
    <t>Kiipsu-Vesiroosi persp mahud - KANAL</t>
  </si>
  <si>
    <t>Kiipsu-Vesiroosi persp tulubaas</t>
  </si>
  <si>
    <t>Keila jõe veehind</t>
  </si>
  <si>
    <t>Keila jõe kanalitariif</t>
  </si>
  <si>
    <t>Vaakumkanalisatsioonitoru koos vaakumkaevudega</t>
  </si>
  <si>
    <t>Metsanurga piirk: vaakumtorustiku rajamine (sh vaakumkaevud)</t>
  </si>
  <si>
    <t>Metsanurga piirk: isevoolse kanalisatsioonitoru rajamine</t>
  </si>
  <si>
    <t>Metsanurga investeeringud</t>
  </si>
  <si>
    <t>Metsanurga investeeringute kulum</t>
  </si>
  <si>
    <t>Metsanurga persp mahud - KANAL</t>
  </si>
  <si>
    <t>Metsanurga persp tulubaas</t>
  </si>
  <si>
    <t>Lille tn opereerimiskulu</t>
  </si>
  <si>
    <t>Erinevus</t>
  </si>
  <si>
    <t>€/a</t>
  </si>
  <si>
    <t>Kannikese puurkaevpumpla rek (betoonmahuti 50-200 m3)</t>
  </si>
  <si>
    <t>Kannikese puurkaevpumpla rek (elektrivarustus)</t>
  </si>
  <si>
    <t>era</t>
  </si>
  <si>
    <t>NB! Siia alla peab tõenäoliselt veel arenduspiirkondi lisama</t>
  </si>
  <si>
    <t>Veetoru rajamine kanalisatsiooniga ühises kaevikus (ühendustorustik)</t>
  </si>
  <si>
    <t>Veetoru rajamine (ringistamine)</t>
  </si>
  <si>
    <t>Reoveepumpla rajamine (Murumäe põik)</t>
  </si>
  <si>
    <t>Survetoru rajamine (ühendustorustik)</t>
  </si>
  <si>
    <t>Veetoru rajamine kanalisatsiooniga ühises kaevikus (Murumäe)</t>
  </si>
  <si>
    <t>Isevoolse kanalisatsioonitoru rajamine (Murumäe)</t>
  </si>
  <si>
    <t>VT raj</t>
  </si>
  <si>
    <t>Puurkaevpumplate/veetöötlusjaamade rekonstrueerimine ja rajamine</t>
  </si>
  <si>
    <t>Veetorustike rajamine</t>
  </si>
  <si>
    <t>PK/VTJ</t>
  </si>
  <si>
    <t>Tehnika/tehnoloogiliste lahenduste soetamine</t>
  </si>
  <si>
    <t>Keila jõe RKA</t>
  </si>
  <si>
    <t>tehno-vesi</t>
  </si>
  <si>
    <t>tehno-kanal</t>
  </si>
  <si>
    <t>KP</t>
  </si>
  <si>
    <t>Reoveepumplate rekonstrueerimine ja rajamine</t>
  </si>
  <si>
    <t>Kanalisatsioonitorustike rekonstrueerimine</t>
  </si>
  <si>
    <t>Kanalisatsioonitorustike rajamine</t>
  </si>
  <si>
    <t>Üllari käest saadud hind</t>
  </si>
  <si>
    <t>Veetoru rekonstrueerimine (tehnopargis Piirimäe 13 - Tänassilma tee 21)</t>
  </si>
  <si>
    <t>Veetoru rekonstrueerimine (tehnopargis Tänassilma tee 21 - Jälgimäe tee 14)</t>
  </si>
  <si>
    <t>Veetoru rajamine (tehnopargis Valdmäe 8a - Piirimäe 13)</t>
  </si>
  <si>
    <t>Veetorustiku rajamine (tehnopargi ja küla vaheline ühendustoru)</t>
  </si>
  <si>
    <t>Isevoolse toru rajamine (ühtlustusmahuti)</t>
  </si>
  <si>
    <t>Kodusalu, Kokatalu ja Nugise piirk: veetoru rajamine kanalisatsiooniga ühises kaevikus</t>
  </si>
  <si>
    <t>Kodusalu, Kokatalu ja Nugise piirk: isevoolse toru rajamine</t>
  </si>
  <si>
    <t>Kodusalu, Kokatalu ja Nugise piirk: survetoru rajamine</t>
  </si>
  <si>
    <t>Kodusalu, Kokatalu ja Nugise piirk: reoveepumpla rajamine</t>
  </si>
  <si>
    <t>Lepiku-Mõisavahe tee piirkond: veetoru rajamine kanalisatsiooniga ühises kaevikus</t>
  </si>
  <si>
    <t>Lepiku piirkonnale ringistus: veetoru rajamine kanalisatsiooniga ühises kaevikus</t>
  </si>
  <si>
    <t>Jälgimäe keskus: veetoru rajamine kanalisatsiooniga ühises kaevikus</t>
  </si>
  <si>
    <t>Metsatuka asum: veetoru rajamine kanalisatsiooniga ühises kaevikus</t>
  </si>
  <si>
    <t>Ühendus Tänassilma tehnopargiga: veetoru rajamine kanalisatsiooniga ühises kaevikus</t>
  </si>
  <si>
    <t>Lepiku piirkond: reoveepumpla rajamine</t>
  </si>
  <si>
    <t>Metsatuka asum: isevoolse torustiku rajamine</t>
  </si>
  <si>
    <t>Jälgimäe teele kanalisatsioonipumpla rajamine</t>
  </si>
  <si>
    <t>Jälgimäe keskus: survetoru rajamine</t>
  </si>
  <si>
    <t>Jälgimäe keskus: reoveepumpla rajamine</t>
  </si>
  <si>
    <t>Tänassilma tehnopargi ühtlustusmahuti laiendamine (+ 250 m3)</t>
  </si>
  <si>
    <t>Ühendus Tänassilma tehnopargiga: survetoru rajamine (paralleelliin ühtlustusmahutini)</t>
  </si>
  <si>
    <t>Ühendus Tänassilma tehnopargiga: isevoolse torustiku rajamine (ühtlustusmahuti)</t>
  </si>
  <si>
    <t>Tuletõrje mahuti rajamine (2x50 m3)</t>
  </si>
  <si>
    <t>Käspriotsa, Ussiaugu, Mari, Aare DP: veetoru rajamine kanalisatsiooniga ühises kaevikus</t>
  </si>
  <si>
    <t>Veetoru rajamine kanalisatsiooniga ühises kaevikus</t>
  </si>
  <si>
    <t>Mõisavahe piirkond: reoveepumpla rajamine</t>
  </si>
  <si>
    <t>Reoveepumpla rajamine (Kanama tee)</t>
  </si>
  <si>
    <t>Rahula puurkaevpumpla rek (veetöötlus, pumpla, mahuti, hoone, E&amp;A, piirdeaed)</t>
  </si>
  <si>
    <t>Veetoru rajamine kanalisatsiooniga ühises kaevikus (ühendustoru Saueni)</t>
  </si>
  <si>
    <t>Veetoru rajamine (Rahula küla)</t>
  </si>
  <si>
    <t>Survetoru rajamine (ühendustoru Sauega)</t>
  </si>
  <si>
    <t>Survetoru rajamine (ühendustoru Jälgimäega)</t>
  </si>
  <si>
    <t>Reoveepumpla rajamine (Pihlaka tee)</t>
  </si>
  <si>
    <t>Veevõtukohtade ja kogumismahutite rekonstrueerimine  ja rajamine</t>
  </si>
  <si>
    <t>veevõtukoht</t>
  </si>
  <si>
    <t>Saustinõmme reoveepumpla rekonstrueerimine</t>
  </si>
  <si>
    <t>2024-2035 KOKKU, €</t>
  </si>
  <si>
    <t>Arenduspiirkondade jms investeeringuvajadus, €</t>
  </si>
  <si>
    <t>Tõdva puurkaevpumpla elektri- ja automaatikasüsteemi rekonstrueerimine</t>
  </si>
  <si>
    <t>Reoveepumpla rajamine</t>
  </si>
  <si>
    <t>Tõdva biotiikide rekonstrueerimine</t>
  </si>
  <si>
    <t>RVPJ</t>
  </si>
  <si>
    <t>Puhastiga seoses võib lisanduda torumeetreid</t>
  </si>
  <si>
    <t>Lokuti puurkaevpumpla rek (veetöötlus, pumpla, mahuti, hoone, E&amp;A, piirdeaed)</t>
  </si>
  <si>
    <t>DP: 284 elamut + 11 ärikinnistut</t>
  </si>
  <si>
    <t>Survetoru rajamine (ühendustoru Saku alevikuga Soo tn pumplani)</t>
  </si>
  <si>
    <t>Männiku reoveepumpla rekonstrueerimine</t>
  </si>
  <si>
    <t>ol.ol kinnistud</t>
  </si>
  <si>
    <t>Pumplate kaugjälgimine-juhtimine</t>
  </si>
  <si>
    <t>Veetoru rekonstrueerimine kanalisatsiooniga ühises kaevikus</t>
  </si>
  <si>
    <t>Puurkaevpumplate rajamine</t>
  </si>
  <si>
    <t>Soo tn pumpla automaatika</t>
  </si>
  <si>
    <t>Veetorustiku rekonstrueerimine kanalisatsiooniga ühises kaevikus</t>
  </si>
  <si>
    <t>Lokuti DP: Isevoolse torustiku rajamine</t>
  </si>
  <si>
    <t>Lokuti DP: Veetoru rajamine</t>
  </si>
  <si>
    <t>Lokuti DP: Veetoru rajamine kanalisatsiooniga ühises kaevikus</t>
  </si>
  <si>
    <t>Lokuti DP: Majaühenduste rajamine</t>
  </si>
  <si>
    <t>Lokuti DP: Survetorustiku rajamine</t>
  </si>
  <si>
    <t>Lokuti DP: Reoveepumplate rajamine (väike)</t>
  </si>
  <si>
    <t>Lokuti DP: Reoveepumplate rajamine (keskmine)</t>
  </si>
  <si>
    <t>Lokuti DP: Reoveepumplate rajamine (suur)</t>
  </si>
  <si>
    <t>Hipodroomi DP: Isevoolse torustiku rajamine</t>
  </si>
  <si>
    <t>Hipodroomi DP: Survetoru rajamine</t>
  </si>
  <si>
    <t>Hipodroomi DP: Reoveepumpla rajamine (keskmine)</t>
  </si>
  <si>
    <t>Hipodroomi DP: Reoveepumpla rajamine (suur)</t>
  </si>
  <si>
    <t>See on pooleldi Tõdva juba</t>
  </si>
  <si>
    <t>Reoveepuhastite rekonstrueerimine ja rajamine</t>
  </si>
  <si>
    <t>Tiikide ja kraavide rajamine ja rekonstrueerimine</t>
  </si>
  <si>
    <t>Sademeveetorustike rajamine ja rekonstrueerimine</t>
  </si>
  <si>
    <t>2023*</t>
  </si>
  <si>
    <t>15a investeering</t>
  </si>
  <si>
    <t>50a investeering</t>
  </si>
  <si>
    <t>ei lähe SM rahavoogu ega hinda</t>
  </si>
  <si>
    <t>Tänassilma tehnoparki ühtlustusmahuti rajamine</t>
  </si>
  <si>
    <t>Ühtlustusmahutiga seotud torustikud</t>
  </si>
  <si>
    <t>Mis mahus läheb veehinda?</t>
  </si>
  <si>
    <t>Veehinda läheb</t>
  </si>
  <si>
    <t>Veehinda ei lähe</t>
  </si>
  <si>
    <t>tegelikult see ei pea olema ÜVK kavas</t>
  </si>
  <si>
    <t>Tõdva reoveepuhasti rajamine (võreseade, kompaktpuhasti, jälgimine-juhtimine)</t>
  </si>
  <si>
    <t>Perspektiivsed veekogused (2035) - arengukava investeeringute järgselt</t>
  </si>
  <si>
    <t>Perspektiivsed veekogused võttes arvesse ka arenduspiirkondade hinnangulisi mahtusid</t>
  </si>
  <si>
    <t>see lilla osa jäi pooleli</t>
  </si>
  <si>
    <t>sh ÜVK taristu amortisatsioonikulu, EUR/a</t>
  </si>
  <si>
    <t>5.2.1.9.</t>
  </si>
  <si>
    <t>5.2.1.8.</t>
  </si>
  <si>
    <t>sh saastetasud</t>
  </si>
  <si>
    <t>5.2.1.7.</t>
  </si>
  <si>
    <t>sh vee erikasutustasud</t>
  </si>
  <si>
    <t>sh kulumaterjalid ja teenused reovee käitluses</t>
  </si>
  <si>
    <t>sh kulumaterjalid ja teenused joogivee tootmises</t>
  </si>
  <si>
    <t>sh energiakulu reoveepuhastitel ja pumplates</t>
  </si>
  <si>
    <t>sh energiakulu joogivee tootmises</t>
  </si>
  <si>
    <t>sh tööjõukulu koos maksudega, EUR/a</t>
  </si>
  <si>
    <t>sh teenuse osutamise tegevuskulu, EUR/a</t>
  </si>
  <si>
    <t>Kulu veeteenuse osutamiseks, EUR/a</t>
  </si>
  <si>
    <t>5.1.4.</t>
  </si>
  <si>
    <t xml:space="preserve">     Müügitulu - purgimine, EUR/a</t>
  </si>
  <si>
    <t>5.1.3.</t>
  </si>
  <si>
    <t xml:space="preserve">     Müügitulu - KANAL, EUR/a</t>
  </si>
  <si>
    <t>5.1.2.</t>
  </si>
  <si>
    <t xml:space="preserve">     Müügitulu - VESI, EUR/a</t>
  </si>
  <si>
    <t>5.1.1.</t>
  </si>
  <si>
    <t>Müügitulu (veemajandus), EUR/a</t>
  </si>
  <si>
    <t>2023 prognoos</t>
  </si>
  <si>
    <t>Muutuvkulud</t>
  </si>
  <si>
    <t>Püsikulud</t>
  </si>
  <si>
    <t>Vesi</t>
  </si>
  <si>
    <t>Kanal</t>
  </si>
  <si>
    <t>MAHTUDE SUURENEMINE 2023/2022</t>
  </si>
  <si>
    <t>OSAKAAL MÜÜGIS (€)</t>
  </si>
  <si>
    <t>OSAKAAL MAHTUDES (m3)</t>
  </si>
  <si>
    <t xml:space="preserve"> &lt;-- kui midagi üle võetakse (nt Rahula Infra või Kuresoo), siis tuleks see ka siia lisada sellele aastale</t>
  </si>
  <si>
    <t xml:space="preserve"> &lt;-- kui Rahula Infra või Kuresoo piirkond üle võtta, siis siin tuleks valemit täiendada</t>
  </si>
  <si>
    <t>2022*</t>
  </si>
  <si>
    <t>Siin koondtabelis on ainult Saku Maja mahud (AÜ Kuresoo ja Rahula Infra mahud on maha võetud)</t>
  </si>
  <si>
    <t>2021*</t>
  </si>
  <si>
    <t>Kannikese lõhn</t>
  </si>
  <si>
    <t>Kungla II-a mahuti jne</t>
  </si>
  <si>
    <t>väiksed investeeringud</t>
  </si>
  <si>
    <t xml:space="preserve">Tõdva </t>
  </si>
  <si>
    <t>vald</t>
  </si>
  <si>
    <t>liitumis-tasu</t>
  </si>
  <si>
    <t>kokku</t>
  </si>
  <si>
    <t>omaf veehinda</t>
  </si>
  <si>
    <t>Kasulik eluiga</t>
  </si>
  <si>
    <t>kokku omaf rahavoogu</t>
  </si>
  <si>
    <t>Amort vesi</t>
  </si>
  <si>
    <t>Amort kanal</t>
  </si>
  <si>
    <t>2023 eelarve</t>
  </si>
  <si>
    <t>Laen 1 - intressid, %</t>
  </si>
  <si>
    <t>Laen 1 - intressid, €</t>
  </si>
  <si>
    <t>Laen 1 - põhiosa tagasimakse, €</t>
  </si>
  <si>
    <t>Tähtaeg</t>
  </si>
  <si>
    <t>Laen 1 - laenujääk (KIK)</t>
  </si>
  <si>
    <t>Laen 2 - laenujääk (uus laen)</t>
  </si>
  <si>
    <t>Laen 2 - põhiosa tagasimakse, €</t>
  </si>
  <si>
    <t>Laen 2 - intressid, %</t>
  </si>
  <si>
    <t>Laen 2 - intressid, €</t>
  </si>
  <si>
    <t>Sademevesi läheb ka kanali hinda!</t>
  </si>
  <si>
    <t>KOKKU OLEMASOLEVAD LAENUD</t>
  </si>
  <si>
    <t>Kehtiv kanalisatsiooni hind (ilma KM) - suurtarbijad</t>
  </si>
  <si>
    <t>Saku valla keskmine ühiktarbimine</t>
  </si>
  <si>
    <t>EURIBOR</t>
  </si>
  <si>
    <t xml:space="preserve"> &lt;-- siin ol.ol kanali väärtuste sees on ka SM bilansis olev sademevee infra (läheb kanalihinda)</t>
  </si>
  <si>
    <t>Kanalisatsiooniteenuse müügimaht - suurtarbijad</t>
  </si>
  <si>
    <t xml:space="preserve"> &lt;-- AS Saku Õlletehas 2022. a tabimine</t>
  </si>
  <si>
    <t>Kanalisatsioonitariif, km-ta, TULUKUSEGA - suurtarbijad</t>
  </si>
  <si>
    <t>Ülejäänud</t>
  </si>
  <si>
    <t>AS Saku Õlletehas</t>
  </si>
  <si>
    <t>m3</t>
  </si>
  <si>
    <t>osakaal käibes</t>
  </si>
  <si>
    <t>Suurtarbija osakaal müügimahtudes</t>
  </si>
  <si>
    <t>Tavatarbijate osakaal müügimahtudes</t>
  </si>
  <si>
    <t>Saku kanaliinv osakaal</t>
  </si>
  <si>
    <t>Tavatarbija osakaal põhivara kasutuses</t>
  </si>
  <si>
    <t>Suurtarbija osakaal põhivara kasutuses</t>
  </si>
  <si>
    <t>Kanalisatsiooniteenuse müügimaht - tavatarbijad</t>
  </si>
  <si>
    <t>Kanalisatsioonitariif, km-ta, TULUKUSEGA - tavatarbijad</t>
  </si>
  <si>
    <r>
      <t xml:space="preserve"> &lt;-- tariifid </t>
    </r>
    <r>
      <rPr>
        <b/>
        <i/>
        <sz val="9"/>
        <color rgb="FFFF0000"/>
        <rFont val="Calibri"/>
        <family val="2"/>
        <scheme val="minor"/>
      </rPr>
      <t>eelmise</t>
    </r>
    <r>
      <rPr>
        <i/>
        <sz val="9"/>
        <color rgb="FFFF0000"/>
        <rFont val="Calibri"/>
        <family val="2"/>
        <scheme val="minor"/>
      </rPr>
      <t xml:space="preserve"> aasta näitajate järgi</t>
    </r>
  </si>
  <si>
    <t xml:space="preserve"> &lt;-- algnumber hinnanguline, et mitte öelda meelevaldne :)</t>
  </si>
  <si>
    <t xml:space="preserve"> &lt;-- osakaal väheneb selle võrra, mis müügimahtude osakaal väheneb</t>
  </si>
  <si>
    <t>KOGU MÜÜGITULU</t>
  </si>
  <si>
    <t>Joogivee hinnas kajastuvad investeeringud aastate kaupa - jooksvates hindades</t>
  </si>
  <si>
    <t>Kanalisatsiooniteenuse hinnas kajastuvad investeeringud aastate kaupa - jooksvates hindades</t>
  </si>
  <si>
    <t>ÜVKA investeeringud, mis ei lähe vähemalt osaliselt veehinda (liitumistasudest vms)</t>
  </si>
  <si>
    <t>Vee-ettevõte</t>
  </si>
  <si>
    <t>KOV</t>
  </si>
  <si>
    <t>Liitumistasud</t>
  </si>
  <si>
    <t>NB! Ära siin midagi täida, täitub automaatselt.</t>
  </si>
  <si>
    <t>ca 30,000 €/a</t>
  </si>
  <si>
    <t>Tammemäe purgla haisulahendus (multšilahendus)</t>
  </si>
  <si>
    <t>kas tasuks teenuse sisse osta hoopis?</t>
  </si>
  <si>
    <t>Metsanurme külas Metsanurme reoveepumpla haisulahendus (multšilahendus)</t>
  </si>
  <si>
    <t>Kiisa alevikus Kasemetsa reoveepumpla haisulahendus (multšilahendus)</t>
  </si>
  <si>
    <t>Annekese puurkaevu tamponeerimine</t>
  </si>
  <si>
    <t>Küsin vallalt üle!</t>
  </si>
  <si>
    <t>Puurkaevpumpla hoone rekonstrueerimine (katus)</t>
  </si>
  <si>
    <t>Kiili KVH KPJ-Sangar reoveepumpla rekonstrueerimine (ühildamine)</t>
  </si>
  <si>
    <t>THI</t>
  </si>
  <si>
    <t>koef (kum)</t>
  </si>
  <si>
    <t xml:space="preserve"> &lt;-- jooksevhindades</t>
  </si>
  <si>
    <t>Sissemaksed omakapitali</t>
  </si>
  <si>
    <t>Investeeringud (omafin), mis lähevad veehinda</t>
  </si>
  <si>
    <t>Investeeringud (omafin), mis küsitakse tagasi liitumistasudest</t>
  </si>
  <si>
    <t>Jooksevkuludes</t>
  </si>
  <si>
    <t>Liitumistasude laekumine</t>
  </si>
  <si>
    <t>Saku Maja osalus</t>
  </si>
  <si>
    <t>Saku valla osalus</t>
  </si>
  <si>
    <t>Liitumis-tasud</t>
  </si>
  <si>
    <t>Tuletõrjevee süsteemide rekonstrueerimine  ja rajamine veevärgi osana</t>
  </si>
  <si>
    <t>jätan inv programmi</t>
  </si>
  <si>
    <t>Roobuka vaakumpumplale varugeneraatori soetamine</t>
  </si>
  <si>
    <t>Kungla VTJ-le varugeneraatori soetamine</t>
  </si>
  <si>
    <t>Lille, Soo ja Traani tee: veetoru rajamine kanalisatsiooniga ühises kaevikus</t>
  </si>
  <si>
    <t>Lille, Soo ja Traani tee: isevoolse kanalisatsioonitoru rajamine</t>
  </si>
  <si>
    <t>Kitse, Karjakopli ja Ürdi tee: veetoru rajamine kanalisatsiooniga ühises kaevikus</t>
  </si>
  <si>
    <t>Kitse, Karjakopli ja Ürdi tee: isevoolse kanalisatsioonitoru rajamine</t>
  </si>
  <si>
    <t>Kitse, Karjakopli ja Ürdi tee: survekanalisatsioonitoru rajamine</t>
  </si>
  <si>
    <t>Kitse, Karjakopli ja Ürdi tee: reoveepumplate rajamine</t>
  </si>
  <si>
    <t>Murimäe, Tammepargi, Toomiku: veetoru rajamine kanalisatsiooniga ühises kaevikus</t>
  </si>
  <si>
    <t>Tariku ja Tarikupõllu DP: veetoru rajamine kanalisatsiooniga ühises kaevikus</t>
  </si>
  <si>
    <t>Lille, Soo ja Traani tee: majaühenduste rajamine (ol.ol hooned)</t>
  </si>
  <si>
    <t>Kitse, Karjakopli ja Ürdi tee: majaühenduste rajamine (ol.ol hooned)</t>
  </si>
  <si>
    <t>Murimäe, Tammepargi, Toomiku: majaühenduste rajamine (ol.ol hooned)</t>
  </si>
  <si>
    <t>Murimäe, Tammepargi, Toomiku: isevoolse kanalisatsioonitoru rajamine</t>
  </si>
  <si>
    <t>Murimäe, Tammepargi, Toomiku: survekanalisatsioonitoru rajamine</t>
  </si>
  <si>
    <t>Tariku ja Tarikupõllu DP: isevoolse kanalisatsioonitoru rajamine</t>
  </si>
  <si>
    <t>Tariku ja Tarikupõllu DP: survekanalisatsioonitoru rajamine</t>
  </si>
  <si>
    <t>Tariku ja Tarikupõllu DP: reoveepumplate rajamine</t>
  </si>
  <si>
    <t>Murimäe, Tammepargi, Toomiku: reoveepumplate rajamine (väike)</t>
  </si>
  <si>
    <t>Murimäe, Tammepargi, Toomiku: reoveepumplate rajamine (keskmine)</t>
  </si>
  <si>
    <t>Kiipsu ja Vesiroosi piirk: majaühenduste rajamine (ol.ol hooned)</t>
  </si>
  <si>
    <t>Metsanurga piirk: majaühenduste rajamine (ol.ol hooned)</t>
  </si>
  <si>
    <t>Veskimetsa DP: veetoru rajamine kanalisatsiooniga ühises kaevikus</t>
  </si>
  <si>
    <t>Mikkori DP: veetoru rajamine kanalisatsiooniga ühises kaevikus</t>
  </si>
  <si>
    <t>Saega DP: veetoru rajamine kanalisatsiooniga ühises kaevikus</t>
  </si>
  <si>
    <t>Veskimetsa DP: majaühenduste rajamine</t>
  </si>
  <si>
    <t>Mikkori DP: majaühenduste rajamine</t>
  </si>
  <si>
    <t>Saega DP: majaühenduste rajamine</t>
  </si>
  <si>
    <t>Veskimetsa DP: vaakumtorustiku rajamine (sh vaakumkaevud)</t>
  </si>
  <si>
    <t>Mikkori DP: isevoolse kanalisatsioonitoru rajamine</t>
  </si>
  <si>
    <t>Saega DP: isevoolse kanalisatsioonitoru rajamine</t>
  </si>
  <si>
    <t>Saega DP: survekanalisatsioonitoru rajamine</t>
  </si>
  <si>
    <t>Saega DP: kanalisatsioonipumpla rajamine</t>
  </si>
  <si>
    <t>Kodusalu, Kokatalu ja Nugise piirk: majaühenduste rajamine (ol.ol hooned)</t>
  </si>
  <si>
    <t>Mihkli ja Paunamäe DP: veetoru rajamine kanalisatsiooniga ühises kaevikus</t>
  </si>
  <si>
    <t>Tariku ja Tarikupõllu DP: veetoru rajamine</t>
  </si>
  <si>
    <t>Kiviaia ja Väiketammiku: veetoru rajamine kanalisatsiooniga ühises kaevikus</t>
  </si>
  <si>
    <t>Kiviaia ja Väiketammiku: veetoru rajamine</t>
  </si>
  <si>
    <t>Kiviaia ja Väiketammiku: majaühenduste rajamine (ol.ol hooned)</t>
  </si>
  <si>
    <t>Väljataga, Vainu ja Toomaveski DP: veetoru rajamine kanalisatsiooniga ühises kaevikus</t>
  </si>
  <si>
    <t>Mihkli ja Paunamäe DP: isevoolse toru rajamine</t>
  </si>
  <si>
    <t>Mihkli ja Paunamäe DP: survetoru rajamine</t>
  </si>
  <si>
    <t>Mihkli ja Paunamäe DP: reoveepumpla rajamine</t>
  </si>
  <si>
    <t>Kiviaia ja Väiketammiku: isevoolse toru rajamine</t>
  </si>
  <si>
    <t>Väljataga, Vainu ja Toomaveski DP: isevoolse toru rajamine</t>
  </si>
  <si>
    <t>Väljataga, Vainu ja Toomaveski DP: survetoru rajamine</t>
  </si>
  <si>
    <t>Väljataga, Vainu ja Toomaveski DP: reoveepumpla rajamine</t>
  </si>
  <si>
    <t>Murimäe, Tammepargi, Toomiku: läbiviik maantee alt</t>
  </si>
  <si>
    <t>Opereerimiskulud - ASTV-le teenustasu - KANAL</t>
  </si>
  <si>
    <t>Opereerimiskulud - muud muutuvkulud - KANAL</t>
  </si>
  <si>
    <t>sh ASTV-le teenustasud (reovesi+sadevesi)</t>
  </si>
  <si>
    <t>ASTV</t>
  </si>
  <si>
    <t>Muud muutuvkulud</t>
  </si>
  <si>
    <t>ASTV teenustasu - reovee vastuvõtmine (müügimahud)</t>
  </si>
  <si>
    <t>ASTV teenustasu - liigvee vastuvõtmine (erinevus)</t>
  </si>
  <si>
    <t>THI kumulatiivne kasv</t>
  </si>
  <si>
    <t>Keskmine palgakasv (EUR)**</t>
  </si>
  <si>
    <t>ASTV taotlus</t>
  </si>
  <si>
    <t>Füüs. Isikud</t>
  </si>
  <si>
    <t>Jur.isikud</t>
  </si>
  <si>
    <t>ASTV-le üleantavad mahud - müük</t>
  </si>
  <si>
    <t>ASTV-le üleantavad mahud - liigvesi</t>
  </si>
  <si>
    <t>Saku-Tallinn täiendava survetoru rajamine</t>
  </si>
  <si>
    <t>Kas rakendame 2027. aastast ASTV taotluse juriidiliste isikute tariifi? (JAH/EI)</t>
  </si>
  <si>
    <t>Saku-Tallinn survetorustiku Nõlvaku tn-Väike-Tooma tn nurga rekonstrueerimine</t>
  </si>
  <si>
    <t>Tegelikult:</t>
  </si>
  <si>
    <t>jur isikud (erinevus)</t>
  </si>
  <si>
    <t>Siin on Kohila Vee mahud jur isiku all sees, tõuseb uute liitujate arvelt!</t>
  </si>
  <si>
    <t>Reovesi juriidiliste isikute poolt (sh Kohila Maja)</t>
  </si>
  <si>
    <t>Männikule ühe uue puurkaevpumpla rajamine (PK, II-a pumpla, reservuaar, veetöötlus, veemõõtja, automaatika, hoone, aed, jms)</t>
  </si>
  <si>
    <t>Ratasepa piirkond: isevoolse torustiku rajamine</t>
  </si>
  <si>
    <t>Ratasepa piirkond: veetoru rajamine kanalisatsiooniga ühises kaevikus</t>
  </si>
  <si>
    <t>Käspriotsa, Ussiaugu, Mari, Aare DP: isevoolse torustiku rajamine</t>
  </si>
  <si>
    <t>Käspriotsa, Ussiaugu, Mari, Aare DP: survetoru rajamine</t>
  </si>
  <si>
    <t>Käspriotsa, Ussiaugu, Mari, Aare DP: reoveepumpla rajamine</t>
  </si>
  <si>
    <t>Männiku uus</t>
  </si>
  <si>
    <t>Tuisu tee/Laulu</t>
  </si>
  <si>
    <t>Saue puurkaevpumpla/veetöötlusjaama rajamine (PK, seadmed, pumpla, mahuti, hoone, E&amp;A, piirdeaed)</t>
  </si>
  <si>
    <t>Tuisu tee (Saku katsepunkti DP): veetoru rajamine kanalisatsiooniga ühises kaevikus</t>
  </si>
  <si>
    <t>Tuisu tee (Saku katsepunkti DP): puurkaevpumpla/veetöötlusjaama rajamine</t>
  </si>
  <si>
    <t>Kirsiõie tee (Ületee DP): isevoolse kanalisatsioonitoru rajamine</t>
  </si>
  <si>
    <t>Kirsiõie tee (Ületee DP): survekanalisatsioonitoru rajamine</t>
  </si>
  <si>
    <t>Kirsiõie tee (Ületee DP): kanalisatsioonipumpla rajamine</t>
  </si>
  <si>
    <t>Tuisu, Raili: majaühenduste rajamine (ol.ol hooned)</t>
  </si>
  <si>
    <t>Tuisu tee (Saku katsepunkti DP): isevoolse kanalisatsioonitoru rajamine</t>
  </si>
  <si>
    <t>Tuisu tee (Saku katsepunkti DP): survekanalisatsioonitoru rajamine</t>
  </si>
  <si>
    <t>Tuisu tee (Saku katsepunkti DP): kanalisatsioonipumpla rajamine</t>
  </si>
  <si>
    <t>Laulu tn: puurkaevpumpla/veetöötlusjaama rajamine</t>
  </si>
  <si>
    <t>Laulu tn: veetoru rajamine kanalisatsiooniga ühises kaevikus</t>
  </si>
  <si>
    <t>Laulu tn: isevoolse kanalisatsioonitoru rajamine</t>
  </si>
  <si>
    <t>Pikaajaline programm kokku, €</t>
  </si>
  <si>
    <t>Joogivesi</t>
  </si>
  <si>
    <t>Kanalisatsioon</t>
  </si>
  <si>
    <t>Kohila ÜVKA (m3/a):</t>
  </si>
  <si>
    <t>Läbiviik maantee alt</t>
  </si>
  <si>
    <t>Survetoru rajamine (ühendustoru Luige asulaga) - 2300 m</t>
  </si>
  <si>
    <t>Saustinõmme reoveepuhasti rekonstrueerimine (250 ie)</t>
  </si>
  <si>
    <t>Tariku ja Tarikupõllu DP: majaühenduste rajamine</t>
  </si>
  <si>
    <t>Stsenaarium A</t>
  </si>
  <si>
    <t>Stsenaarium B</t>
  </si>
  <si>
    <t>Hind kokku ilma KM</t>
  </si>
  <si>
    <t>Taskukohasus, %</t>
  </si>
  <si>
    <t>Rahajääk</t>
  </si>
  <si>
    <t>Kasum</t>
  </si>
  <si>
    <t>Laenu kattekordaja</t>
  </si>
  <si>
    <t>Kulu ASTV teenusele</t>
  </si>
  <si>
    <t>NB! Need numbrid on vanad, enne ühikhindade muutmist kleebitud!</t>
  </si>
  <si>
    <t>sh omafinatseeringu jääkväärtus - KANAL, EUR, sh sadekanal</t>
  </si>
  <si>
    <t>sh omafinatseeringu kulum - KANAL, EUR/a, sh sadekanal</t>
  </si>
  <si>
    <t>Kadri hinnataotluse prognoos</t>
  </si>
  <si>
    <t>Kadri PV tabel + hinnataotlus</t>
  </si>
  <si>
    <t>Saustinõmme reoveepumpla kaugjälgimis- ja juhtimissüsteem</t>
  </si>
  <si>
    <t>Ühtlustusmahuti rajamine, 250 m3 (sh pumbad, õhupuhastus ja generaator)</t>
  </si>
  <si>
    <t>Arendajad peavad rajama uue VTJ</t>
  </si>
  <si>
    <t>Reoveepumpla rajamine (väike)</t>
  </si>
  <si>
    <t>Reoveepumpla rajamine (keskmine)</t>
  </si>
  <si>
    <t>Lille, Soo ja Traani tee: survekanalisatsioonitoru rajamine</t>
  </si>
  <si>
    <t>Lille, Soo ja Traani tee: reoveepumpla rajamine</t>
  </si>
  <si>
    <t>Uue puurkaevpumpla/VTJ rajamine Tänassilma elamupiirkonda</t>
  </si>
  <si>
    <t>Koondtabel - ÜVK teenuse hinnas kajastuvad investeerigud aastate kaupa (AS Saku Maja osalus) - püsihindades!</t>
  </si>
  <si>
    <t>Subtotal</t>
  </si>
  <si>
    <t>OTSING (õiged numbrid)</t>
  </si>
  <si>
    <t>Eesvoolukraavi rekonstrueerimine</t>
  </si>
  <si>
    <t>jm</t>
  </si>
  <si>
    <t>Uuring ja MATER spetsialisti hinnang maaparanduskraavi rekonstrueerimiseks</t>
  </si>
  <si>
    <t>Survetoru rajamine planeeritavast ühtlustusmahutist Vainu tee pumplani</t>
  </si>
  <si>
    <t>Survetoru rajamine Fazeri pumplast planeeritava ühtlustusmahutini</t>
  </si>
  <si>
    <t>SM osa</t>
  </si>
  <si>
    <t>Survetoru rajamine (2x285m) planeeritavast Vainu tee pumplast Männiku-Tallinn survetorustikuni</t>
  </si>
  <si>
    <t>Veetoru rajamine Tänassilma tee L3-st Väljataga DP-ni (tehnopark-elamupiirkond)</t>
  </si>
  <si>
    <t>Reoveepumpla rajamine (Vainu tee-Pumbajaama tee)</t>
  </si>
  <si>
    <t>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</si>
</sst>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&quot;£&quot;"/>
    <numFmt numFmtId="165" formatCode="0.0"/>
    <numFmt numFmtId="166" formatCode="#,##0.000000000"/>
    <numFmt numFmtId="167" formatCode="General&quot;.&quot;"/>
    <numFmt numFmtId="168" formatCode="#,##0.0"/>
    <numFmt numFmtId="169" formatCode="0.0%"/>
    <numFmt numFmtId="170" formatCode="#,##0\ &quot;€&quot;"/>
    <numFmt numFmtId="171" formatCode="0;\-0;;@"/>
    <numFmt numFmtId="172" formatCode="0.0;\-0.0;;@"/>
    <numFmt numFmtId="173" formatCode="0.0%;\-0.0%;;@"/>
    <numFmt numFmtId="174" formatCode="_-* #,##0_-;\-* #,##0_-;_-* &quot;-&quot;??_-;_-@_-"/>
    <numFmt numFmtId="175" formatCode="0.00;\-0.00;;@"/>
  </numFmts>
  <fonts count="22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70C0"/>
      <name val="Calibri"/>
      <family val="2"/>
      <charset val="186"/>
      <scheme val="minor"/>
    </font>
    <font>
      <b/>
      <i/>
      <u/>
      <sz val="14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charset val="186"/>
      <scheme val="minor"/>
    </font>
    <font>
      <i/>
      <sz val="9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i/>
      <u/>
      <sz val="14"/>
      <color rgb="FF7030A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2" tint="-0.749992370372631"/>
      <name val="Calibri"/>
      <family val="2"/>
      <charset val="186"/>
      <scheme val="minor"/>
    </font>
    <font>
      <i/>
      <sz val="9"/>
      <color theme="1"/>
      <name val="Calibri"/>
      <family val="2"/>
      <scheme val="minor"/>
    </font>
    <font>
      <i/>
      <sz val="9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charset val="186"/>
      <scheme val="minor"/>
    </font>
    <font>
      <b/>
      <sz val="9"/>
      <color theme="2" tint="-0.749992370372631"/>
      <name val="Calibri"/>
      <family val="2"/>
      <charset val="186"/>
      <scheme val="minor"/>
    </font>
    <font>
      <sz val="9"/>
      <color rgb="FF7030A0"/>
      <name val="Calibri"/>
      <family val="2"/>
      <charset val="186"/>
      <scheme val="minor"/>
    </font>
    <font>
      <b/>
      <sz val="9"/>
      <color rgb="FF0070C0"/>
      <name val="Calibri"/>
      <family val="2"/>
      <scheme val="minor"/>
    </font>
    <font>
      <sz val="9"/>
      <color theme="3" tint="-0.499984740745262"/>
      <name val="Calibri"/>
      <family val="2"/>
      <charset val="186"/>
      <scheme val="minor"/>
    </font>
    <font>
      <sz val="9"/>
      <color rgb="FF7030A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9"/>
      <color theme="2" tint="-0.74999237037263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sz val="3"/>
      <color rgb="FF000000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0070C0"/>
      <name val="Calibri"/>
      <family val="2"/>
      <charset val="186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i/>
      <sz val="9"/>
      <color theme="0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color rgb="FFFF00FF"/>
      <name val="Calibri"/>
      <family val="2"/>
      <charset val="186"/>
      <scheme val="minor"/>
    </font>
    <font>
      <sz val="11"/>
      <color theme="5" tint="-0.249977111117893"/>
      <name val="Calibri"/>
      <family val="2"/>
      <scheme val="minor"/>
    </font>
    <font>
      <sz val="11"/>
      <color rgb="FFFF00FF"/>
      <name val="Calibri"/>
      <family val="2"/>
      <charset val="186"/>
      <scheme val="minor"/>
    </font>
    <font>
      <b/>
      <sz val="11"/>
      <color rgb="FFFF00FF"/>
      <name val="Calibri"/>
      <family val="2"/>
      <charset val="186"/>
      <scheme val="minor"/>
    </font>
    <font>
      <sz val="11"/>
      <color rgb="FFFFC00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1"/>
      <color rgb="FFFF00FF"/>
      <name val="Calibri"/>
      <family val="2"/>
      <scheme val="minor"/>
    </font>
    <font>
      <b/>
      <i/>
      <u/>
      <sz val="7.5"/>
      <color rgb="FF0070C0"/>
      <name val="Verdana"/>
      <family val="2"/>
      <charset val="186"/>
    </font>
    <font>
      <sz val="7.5"/>
      <color theme="1"/>
      <name val="Verdana"/>
      <family val="2"/>
      <charset val="186"/>
    </font>
    <font>
      <b/>
      <sz val="7.5"/>
      <color rgb="FF000000"/>
      <name val="Verdana"/>
      <family val="2"/>
      <charset val="186"/>
    </font>
    <font>
      <sz val="7.5"/>
      <color rgb="FF000000"/>
      <name val="Verdana"/>
      <family val="2"/>
      <charset val="186"/>
    </font>
    <font>
      <b/>
      <sz val="7.5"/>
      <name val="Verdana"/>
      <family val="2"/>
      <charset val="186"/>
    </font>
    <font>
      <sz val="7.5"/>
      <name val="Verdana"/>
      <family val="2"/>
      <charset val="186"/>
    </font>
    <font>
      <b/>
      <sz val="7.5"/>
      <color theme="1"/>
      <name val="Verdana"/>
      <family val="2"/>
      <charset val="186"/>
    </font>
    <font>
      <sz val="7.5"/>
      <color rgb="FF7030A0"/>
      <name val="Verdana"/>
      <family val="2"/>
      <charset val="186"/>
    </font>
    <font>
      <b/>
      <sz val="7.5"/>
      <color rgb="FFFF0000"/>
      <name val="Verdana"/>
      <family val="2"/>
      <charset val="186"/>
    </font>
    <font>
      <b/>
      <i/>
      <u/>
      <sz val="14"/>
      <color rgb="FF0070C0"/>
      <name val="Calibri"/>
      <family val="2"/>
      <charset val="186"/>
      <scheme val="minor"/>
    </font>
    <font>
      <sz val="14"/>
      <color rgb="FF0070C0"/>
      <name val="Calibri"/>
      <family val="2"/>
      <charset val="186"/>
      <scheme val="minor"/>
    </font>
    <font>
      <b/>
      <sz val="7.5"/>
      <color rgb="FF0070C0"/>
      <name val="Verdana"/>
      <family val="2"/>
      <charset val="186"/>
    </font>
    <font>
      <b/>
      <i/>
      <u/>
      <sz val="14"/>
      <color rgb="FF0070C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b/>
      <sz val="11"/>
      <color rgb="FFCC99FF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C99FF"/>
      <name val="Calibri"/>
      <family val="2"/>
      <scheme val="minor"/>
    </font>
    <font>
      <sz val="11"/>
      <color rgb="FFCC99FF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  <font>
      <b/>
      <sz val="7.5"/>
      <color rgb="FF7030A0"/>
      <name val="Verdana"/>
      <family val="2"/>
      <charset val="186"/>
    </font>
    <font>
      <b/>
      <sz val="9"/>
      <color rgb="FF0070C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i/>
      <sz val="7.5"/>
      <name val="Verdana"/>
      <family val="2"/>
      <charset val="186"/>
    </font>
    <font>
      <i/>
      <sz val="11"/>
      <color rgb="FF000000"/>
      <name val="Calibri"/>
      <family val="2"/>
      <charset val="186"/>
    </font>
    <font>
      <b/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charset val="186"/>
      <scheme val="minor"/>
    </font>
    <font>
      <b/>
      <i/>
      <u/>
      <sz val="11"/>
      <color rgb="FF0070C0"/>
      <name val="Calibri"/>
      <family val="2"/>
      <charset val="186"/>
      <scheme val="minor"/>
    </font>
    <font>
      <sz val="9"/>
      <color theme="5" tint="-0.249977111117893"/>
      <name val="Calibri"/>
      <family val="2"/>
      <charset val="186"/>
      <scheme val="minor"/>
    </font>
    <font>
      <b/>
      <sz val="9"/>
      <color theme="5" tint="-0.249977111117893"/>
      <name val="Calibri"/>
      <family val="2"/>
      <charset val="186"/>
      <scheme val="minor"/>
    </font>
    <font>
      <b/>
      <i/>
      <sz val="9"/>
      <color theme="5" tint="-0.249977111117893"/>
      <name val="Calibri"/>
      <family val="2"/>
      <charset val="186"/>
      <scheme val="minor"/>
    </font>
    <font>
      <vertAlign val="superscript"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i/>
      <sz val="11"/>
      <name val="Calibri"/>
      <family val="2"/>
      <charset val="186"/>
      <scheme val="minor"/>
    </font>
    <font>
      <i/>
      <sz val="11"/>
      <color theme="3" tint="-0.249977111117893"/>
      <name val="Calibri"/>
      <family val="2"/>
      <charset val="186"/>
      <scheme val="minor"/>
    </font>
    <font>
      <i/>
      <sz val="11"/>
      <color theme="2" tint="-0.749992370372631"/>
      <name val="Calibri"/>
      <family val="2"/>
      <scheme val="minor"/>
    </font>
    <font>
      <vertAlign val="superscript"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1"/>
      <color theme="4" tint="-0.249977111117893"/>
      <name val="Calibri"/>
      <family val="2"/>
      <charset val="186"/>
      <scheme val="minor"/>
    </font>
    <font>
      <i/>
      <sz val="11"/>
      <color theme="5" tint="-0.249977111117893"/>
      <name val="Calibri"/>
      <family val="2"/>
      <charset val="186"/>
      <scheme val="minor"/>
    </font>
    <font>
      <b/>
      <sz val="10"/>
      <color rgb="FF0070C0"/>
      <name val="Arial"/>
      <family val="2"/>
      <charset val="186"/>
    </font>
    <font>
      <sz val="10"/>
      <color indexed="0"/>
      <name val="Arial"/>
      <family val="2"/>
      <charset val="186"/>
    </font>
    <font>
      <sz val="10"/>
      <color rgb="FF0070C0"/>
      <name val="Arial"/>
      <family val="2"/>
      <charset val="186"/>
    </font>
    <font>
      <i/>
      <sz val="10"/>
      <color rgb="FF0070C0"/>
      <name val="Arial"/>
      <family val="2"/>
      <charset val="186"/>
    </font>
    <font>
      <i/>
      <sz val="10"/>
      <color rgb="FFFF0000"/>
      <name val="Arial"/>
      <family val="2"/>
      <charset val="186"/>
    </font>
    <font>
      <b/>
      <sz val="10"/>
      <color indexed="0"/>
      <name val="Arial"/>
      <family val="2"/>
      <charset val="186"/>
    </font>
    <font>
      <i/>
      <sz val="10"/>
      <name val="Arial"/>
      <family val="2"/>
      <charset val="186"/>
    </font>
    <font>
      <i/>
      <sz val="11"/>
      <color rgb="FFFF0000"/>
      <name val="Calibri"/>
      <family val="2"/>
      <charset val="186"/>
      <scheme val="minor"/>
    </font>
    <font>
      <sz val="7.5"/>
      <color rgb="FFFF0000"/>
      <name val="Verdana"/>
      <family val="2"/>
      <charset val="186"/>
    </font>
    <font>
      <b/>
      <i/>
      <sz val="11"/>
      <color rgb="FFFF0000"/>
      <name val="Calibri"/>
      <family val="2"/>
      <charset val="186"/>
      <scheme val="minor"/>
    </font>
    <font>
      <b/>
      <i/>
      <sz val="7"/>
      <color rgb="FFFF0000"/>
      <name val="Verdana"/>
      <family val="2"/>
      <charset val="186"/>
    </font>
    <font>
      <i/>
      <sz val="7"/>
      <color theme="1" tint="0.499984740745262"/>
      <name val="Verdana"/>
      <family val="2"/>
      <charset val="186"/>
    </font>
    <font>
      <b/>
      <sz val="7"/>
      <color theme="1"/>
      <name val="Verdana"/>
      <family val="2"/>
      <charset val="186"/>
    </font>
    <font>
      <sz val="7"/>
      <color theme="1"/>
      <name val="Verdana"/>
      <family val="2"/>
      <charset val="186"/>
    </font>
    <font>
      <b/>
      <i/>
      <sz val="7"/>
      <color theme="1" tint="0.499984740745262"/>
      <name val="Verdana"/>
      <family val="2"/>
      <charset val="186"/>
    </font>
    <font>
      <i/>
      <sz val="7"/>
      <name val="Verdana"/>
      <family val="2"/>
      <charset val="186"/>
    </font>
    <font>
      <b/>
      <i/>
      <sz val="12"/>
      <color rgb="FF002060"/>
      <name val="Verdana"/>
      <family val="2"/>
      <charset val="186"/>
    </font>
    <font>
      <sz val="12"/>
      <color theme="1"/>
      <name val="Verdana"/>
      <family val="2"/>
      <charset val="186"/>
    </font>
    <font>
      <b/>
      <sz val="8"/>
      <color theme="1"/>
      <name val="Verdana"/>
      <family val="2"/>
      <charset val="186"/>
    </font>
    <font>
      <b/>
      <i/>
      <sz val="7.5"/>
      <color rgb="FF0070C0"/>
      <name val="Verdana"/>
      <family val="2"/>
      <charset val="186"/>
    </font>
    <font>
      <sz val="7"/>
      <color theme="5" tint="-0.249977111117893"/>
      <name val="Verdana"/>
      <family val="2"/>
      <charset val="186"/>
    </font>
    <font>
      <sz val="7"/>
      <name val="Verdana"/>
      <family val="2"/>
      <charset val="186"/>
    </font>
    <font>
      <i/>
      <sz val="7"/>
      <color theme="5" tint="-0.499984740745262"/>
      <name val="Verdana"/>
      <family val="2"/>
      <charset val="186"/>
    </font>
    <font>
      <b/>
      <i/>
      <sz val="7.5"/>
      <color theme="5" tint="-0.499984740745262"/>
      <name val="Verdana"/>
      <family val="2"/>
      <charset val="186"/>
    </font>
    <font>
      <b/>
      <sz val="7.5"/>
      <color theme="5" tint="-0.499984740745262"/>
      <name val="Verdana"/>
      <family val="2"/>
      <charset val="186"/>
    </font>
    <font>
      <sz val="7"/>
      <color theme="5" tint="-0.499984740745262"/>
      <name val="Verdana"/>
      <family val="2"/>
      <charset val="186"/>
    </font>
    <font>
      <sz val="7.5"/>
      <color rgb="FF0070C0"/>
      <name val="Verdana"/>
      <family val="2"/>
      <charset val="186"/>
    </font>
    <font>
      <sz val="7"/>
      <color rgb="FF0070C0"/>
      <name val="Verdana"/>
      <family val="2"/>
      <charset val="186"/>
    </font>
    <font>
      <b/>
      <sz val="7"/>
      <color rgb="FFFF0000"/>
      <name val="Verdana"/>
      <family val="2"/>
      <charset val="186"/>
    </font>
    <font>
      <sz val="7"/>
      <color rgb="FF00B050"/>
      <name val="Verdana"/>
      <family val="2"/>
      <charset val="186"/>
    </font>
    <font>
      <sz val="7"/>
      <color rgb="FF7030A0"/>
      <name val="Verdana"/>
      <family val="2"/>
      <charset val="186"/>
    </font>
    <font>
      <sz val="7"/>
      <color rgb="FFFF0000"/>
      <name val="Verdana"/>
      <family val="2"/>
      <charset val="186"/>
    </font>
    <font>
      <i/>
      <sz val="7"/>
      <color rgb="FFFF0000"/>
      <name val="Verdana"/>
      <family val="2"/>
      <charset val="186"/>
    </font>
    <font>
      <sz val="8"/>
      <name val="Verdana"/>
      <family val="2"/>
      <charset val="186"/>
    </font>
    <font>
      <sz val="8"/>
      <color theme="1"/>
      <name val="Verdana"/>
      <family val="2"/>
      <charset val="186"/>
    </font>
    <font>
      <i/>
      <sz val="7"/>
      <color theme="1"/>
      <name val="Verdana"/>
      <family val="2"/>
      <charset val="186"/>
    </font>
    <font>
      <i/>
      <sz val="7"/>
      <color rgb="FF0070C0"/>
      <name val="Verdana"/>
      <family val="2"/>
      <charset val="186"/>
    </font>
    <font>
      <i/>
      <sz val="7"/>
      <color theme="5" tint="-0.249977111117893"/>
      <name val="Verdana"/>
      <family val="2"/>
      <charset val="186"/>
    </font>
    <font>
      <b/>
      <i/>
      <sz val="7"/>
      <color theme="1"/>
      <name val="Verdana"/>
      <family val="2"/>
      <charset val="186"/>
    </font>
    <font>
      <b/>
      <i/>
      <sz val="7"/>
      <name val="Verdana"/>
      <family val="2"/>
      <charset val="186"/>
    </font>
    <font>
      <b/>
      <sz val="7"/>
      <color rgb="FF7030A0"/>
      <name val="Verdana"/>
      <family val="2"/>
      <charset val="186"/>
    </font>
    <font>
      <i/>
      <sz val="7"/>
      <color rgb="FFCC99FF"/>
      <name val="Verdana"/>
      <family val="2"/>
      <charset val="186"/>
    </font>
    <font>
      <i/>
      <sz val="11"/>
      <color theme="0" tint="-0.499984740745262"/>
      <name val="Calibri"/>
      <family val="2"/>
      <charset val="186"/>
      <scheme val="minor"/>
    </font>
    <font>
      <sz val="7.5"/>
      <color theme="5" tint="-0.249977111117893"/>
      <name val="Verdana"/>
      <family val="2"/>
      <charset val="186"/>
    </font>
    <font>
      <sz val="8"/>
      <color rgb="FF7030A0"/>
      <name val="Calibri"/>
      <family val="2"/>
      <scheme val="minor"/>
    </font>
    <font>
      <b/>
      <i/>
      <sz val="11"/>
      <color rgb="FF7030A0"/>
      <name val="Calibri"/>
      <family val="2"/>
      <charset val="186"/>
      <scheme val="minor"/>
    </font>
    <font>
      <b/>
      <sz val="8"/>
      <color rgb="FF7030A0"/>
      <name val="Calibri"/>
      <family val="2"/>
      <scheme val="minor"/>
    </font>
    <font>
      <sz val="11"/>
      <color theme="2" tint="-0.749992370372631"/>
      <name val="Calibri"/>
      <family val="2"/>
      <charset val="186"/>
      <scheme val="minor"/>
    </font>
    <font>
      <sz val="11"/>
      <color theme="3" tint="-0.249977111117893"/>
      <name val="Calibri"/>
      <family val="2"/>
      <charset val="186"/>
      <scheme val="minor"/>
    </font>
    <font>
      <b/>
      <i/>
      <sz val="10"/>
      <color rgb="FF0070C0"/>
      <name val="Arial"/>
      <family val="2"/>
      <charset val="186"/>
    </font>
    <font>
      <i/>
      <sz val="11"/>
      <color rgb="FF0070C0"/>
      <name val="Calibri"/>
      <family val="2"/>
      <charset val="186"/>
      <scheme val="minor"/>
    </font>
    <font>
      <b/>
      <sz val="11"/>
      <color theme="5" tint="-0.249977111117893"/>
      <name val="Calibri"/>
      <family val="2"/>
      <charset val="186"/>
      <scheme val="minor"/>
    </font>
    <font>
      <b/>
      <i/>
      <sz val="11"/>
      <color rgb="FF0070C0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i/>
      <sz val="9"/>
      <color theme="0" tint="-0.499984740745262"/>
      <name val="Calibri"/>
      <family val="2"/>
      <charset val="186"/>
      <scheme val="minor"/>
    </font>
    <font>
      <sz val="9"/>
      <color theme="0" tint="-0.34998626667073579"/>
      <name val="Calibri"/>
      <family val="2"/>
      <charset val="186"/>
      <scheme val="minor"/>
    </font>
    <font>
      <i/>
      <sz val="11"/>
      <color rgb="FF7030A0"/>
      <name val="Calibri"/>
      <family val="2"/>
      <scheme val="minor"/>
    </font>
    <font>
      <b/>
      <sz val="7.5"/>
      <color theme="0" tint="-0.499984740745262"/>
      <name val="Verdana"/>
      <family val="2"/>
      <charset val="186"/>
    </font>
    <font>
      <b/>
      <sz val="8"/>
      <color theme="0" tint="-0.499984740745262"/>
      <name val="Verdana"/>
      <family val="2"/>
      <charset val="186"/>
    </font>
    <font>
      <sz val="7.5"/>
      <color theme="0" tint="-0.499984740745262"/>
      <name val="Verdana"/>
      <family val="2"/>
      <charset val="186"/>
    </font>
    <font>
      <b/>
      <sz val="12"/>
      <color theme="0" tint="-0.499984740745262"/>
      <name val="Verdana"/>
      <family val="2"/>
      <charset val="186"/>
    </font>
    <font>
      <b/>
      <sz val="7"/>
      <color rgb="FF0070C0"/>
      <name val="Verdana"/>
      <family val="2"/>
      <charset val="186"/>
    </font>
    <font>
      <b/>
      <i/>
      <sz val="8"/>
      <color rgb="FF7030A0"/>
      <name val="Calibri"/>
      <family val="2"/>
      <charset val="186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9"/>
      <color rgb="FFCC00CC"/>
      <name val="Calibri"/>
      <family val="2"/>
      <charset val="186"/>
      <scheme val="minor"/>
    </font>
    <font>
      <sz val="11"/>
      <color rgb="FFCC00CC"/>
      <name val="Calibri"/>
      <family val="2"/>
      <charset val="186"/>
      <scheme val="minor"/>
    </font>
    <font>
      <b/>
      <i/>
      <sz val="8"/>
      <color rgb="FF0070C0"/>
      <name val="Calibri"/>
      <family val="2"/>
      <charset val="186"/>
    </font>
    <font>
      <sz val="8"/>
      <color rgb="FF0070C0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sz val="8"/>
      <color rgb="FF0070C0"/>
      <name val="Calibri"/>
      <family val="2"/>
      <charset val="186"/>
      <scheme val="minor"/>
    </font>
    <font>
      <sz val="9"/>
      <color rgb="FFCC00CC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8"/>
      <color rgb="FFCC00CC"/>
      <name val="Calibri"/>
      <family val="2"/>
      <scheme val="minor"/>
    </font>
    <font>
      <sz val="8"/>
      <color rgb="FFCC00CC"/>
      <name val="Calibri"/>
      <family val="2"/>
      <scheme val="minor"/>
    </font>
    <font>
      <b/>
      <i/>
      <sz val="12"/>
      <color rgb="FFFF0000"/>
      <name val="Calibri"/>
      <family val="2"/>
      <charset val="186"/>
      <scheme val="minor"/>
    </font>
    <font>
      <b/>
      <i/>
      <sz val="10"/>
      <color rgb="FFFF0000"/>
      <name val="Calibri"/>
      <family val="2"/>
      <charset val="186"/>
      <scheme val="minor"/>
    </font>
    <font>
      <sz val="9"/>
      <color rgb="FF000000"/>
      <name val="Calibri"/>
      <family val="2"/>
      <charset val="186"/>
    </font>
    <font>
      <u/>
      <sz val="11"/>
      <name val="Calibri"/>
      <family val="2"/>
      <charset val="186"/>
      <scheme val="minor"/>
    </font>
    <font>
      <sz val="9"/>
      <color rgb="FF0070C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i/>
      <sz val="7.5"/>
      <color rgb="FFFF0000"/>
      <name val="Verdana"/>
      <family val="2"/>
      <charset val="186"/>
    </font>
    <font>
      <i/>
      <sz val="7.5"/>
      <color theme="0" tint="-0.499984740745262"/>
      <name val="Verdana"/>
      <family val="2"/>
      <charset val="186"/>
    </font>
    <font>
      <i/>
      <sz val="7.5"/>
      <color rgb="FF0070C0"/>
      <name val="Verdana"/>
      <family val="2"/>
      <charset val="186"/>
    </font>
    <font>
      <b/>
      <sz val="9"/>
      <color rgb="FF000000"/>
      <name val="Calibri"/>
      <family val="2"/>
      <charset val="186"/>
    </font>
    <font>
      <b/>
      <sz val="12"/>
      <name val="Verdana"/>
      <family val="2"/>
      <charset val="186"/>
    </font>
    <font>
      <b/>
      <sz val="8"/>
      <name val="Verdana"/>
      <family val="2"/>
      <charset val="186"/>
    </font>
    <font>
      <b/>
      <i/>
      <sz val="9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b/>
      <u/>
      <sz val="7"/>
      <color rgb="FF7030A0"/>
      <name val="Verdana"/>
      <family val="2"/>
    </font>
    <font>
      <i/>
      <sz val="7"/>
      <color rgb="FF7030A0"/>
      <name val="Verdana"/>
      <family val="2"/>
      <charset val="186"/>
    </font>
  </fonts>
  <fills count="3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theme="0" tint="-0.24994659260841701"/>
        <bgColor theme="0" tint="-0.14999847407452621"/>
      </patternFill>
    </fill>
    <fill>
      <patternFill patternType="lightGray">
        <fgColor theme="0" tint="-0.2499465926084170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CFE3"/>
        <bgColor indexed="64"/>
      </patternFill>
    </fill>
    <fill>
      <patternFill patternType="solid">
        <fgColor rgb="FFEBEB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6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center"/>
    </xf>
    <xf numFmtId="0" fontId="10" fillId="0" borderId="0" xfId="0" applyFont="1"/>
    <xf numFmtId="0" fontId="19" fillId="0" borderId="0" xfId="0" applyFont="1"/>
    <xf numFmtId="0" fontId="15" fillId="0" borderId="0" xfId="0" applyFont="1"/>
    <xf numFmtId="3" fontId="12" fillId="6" borderId="0" xfId="0" applyNumberFormat="1" applyFont="1" applyFill="1"/>
    <xf numFmtId="3" fontId="2" fillId="3" borderId="1" xfId="0" applyNumberFormat="1" applyFont="1" applyFill="1" applyBorder="1"/>
    <xf numFmtId="3" fontId="2" fillId="3" borderId="2" xfId="0" applyNumberFormat="1" applyFont="1" applyFill="1" applyBorder="1"/>
    <xf numFmtId="3" fontId="2" fillId="0" borderId="1" xfId="0" applyNumberFormat="1" applyFont="1" applyBorder="1"/>
    <xf numFmtId="3" fontId="12" fillId="7" borderId="0" xfId="0" applyNumberFormat="1" applyFont="1" applyFill="1"/>
    <xf numFmtId="3" fontId="2" fillId="11" borderId="1" xfId="0" applyNumberFormat="1" applyFont="1" applyFill="1" applyBorder="1"/>
    <xf numFmtId="3" fontId="2" fillId="0" borderId="0" xfId="0" applyNumberFormat="1" applyFont="1"/>
    <xf numFmtId="3" fontId="6" fillId="0" borderId="0" xfId="0" applyNumberFormat="1" applyFont="1"/>
    <xf numFmtId="3" fontId="0" fillId="10" borderId="1" xfId="0" applyNumberFormat="1" applyFill="1" applyBorder="1"/>
    <xf numFmtId="3" fontId="2" fillId="9" borderId="1" xfId="0" applyNumberFormat="1" applyFont="1" applyFill="1" applyBorder="1"/>
    <xf numFmtId="3" fontId="2" fillId="12" borderId="1" xfId="0" applyNumberFormat="1" applyFont="1" applyFill="1" applyBorder="1"/>
    <xf numFmtId="0" fontId="25" fillId="0" borderId="0" xfId="0" applyFont="1"/>
    <xf numFmtId="3" fontId="12" fillId="13" borderId="0" xfId="0" applyNumberFormat="1" applyFont="1" applyFill="1"/>
    <xf numFmtId="3" fontId="6" fillId="10" borderId="1" xfId="0" applyNumberFormat="1" applyFont="1" applyFill="1" applyBorder="1"/>
    <xf numFmtId="0" fontId="2" fillId="14" borderId="1" xfId="0" applyFont="1" applyFill="1" applyBorder="1"/>
    <xf numFmtId="0" fontId="2" fillId="14" borderId="1" xfId="0" applyFont="1" applyFill="1" applyBorder="1" applyAlignment="1">
      <alignment horizontal="right"/>
    </xf>
    <xf numFmtId="0" fontId="27" fillId="14" borderId="1" xfId="0" applyFont="1" applyFill="1" applyBorder="1"/>
    <xf numFmtId="0" fontId="2" fillId="8" borderId="1" xfId="0" applyFont="1" applyFill="1" applyBorder="1"/>
    <xf numFmtId="0" fontId="2" fillId="0" borderId="0" xfId="0" applyFont="1"/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justify" vertical="center" wrapText="1"/>
    </xf>
    <xf numFmtId="0" fontId="9" fillId="7" borderId="0" xfId="0" applyFont="1" applyFill="1" applyAlignment="1">
      <alignment horizontal="justify" vertical="center" wrapText="1"/>
    </xf>
    <xf numFmtId="0" fontId="59" fillId="6" borderId="0" xfId="0" applyFont="1" applyFill="1" applyAlignment="1">
      <alignment horizontal="justify" vertical="center" wrapText="1"/>
    </xf>
    <xf numFmtId="0" fontId="59" fillId="7" borderId="0" xfId="0" applyFont="1" applyFill="1" applyAlignment="1">
      <alignment horizontal="justify" vertical="center" wrapText="1"/>
    </xf>
    <xf numFmtId="0" fontId="9" fillId="22" borderId="0" xfId="0" applyFont="1" applyFill="1" applyAlignment="1">
      <alignment horizontal="justify" vertical="center" wrapText="1"/>
    </xf>
    <xf numFmtId="0" fontId="61" fillId="0" borderId="0" xfId="0" applyFont="1"/>
    <xf numFmtId="9" fontId="0" fillId="0" borderId="1" xfId="1" applyFont="1" applyBorder="1"/>
    <xf numFmtId="3" fontId="55" fillId="0" borderId="0" xfId="0" applyNumberFormat="1" applyFont="1" applyAlignment="1">
      <alignment horizontal="center"/>
    </xf>
    <xf numFmtId="3" fontId="56" fillId="14" borderId="1" xfId="0" applyNumberFormat="1" applyFont="1" applyFill="1" applyBorder="1" applyAlignment="1">
      <alignment horizontal="center"/>
    </xf>
    <xf numFmtId="3" fontId="60" fillId="22" borderId="0" xfId="0" applyNumberFormat="1" applyFont="1" applyFill="1" applyAlignment="1">
      <alignment horizontal="justify" vertical="center" wrapText="1"/>
    </xf>
    <xf numFmtId="3" fontId="9" fillId="22" borderId="0" xfId="0" applyNumberFormat="1" applyFont="1" applyFill="1" applyAlignment="1">
      <alignment horizontal="justify" vertical="center" wrapText="1"/>
    </xf>
    <xf numFmtId="3" fontId="9" fillId="6" borderId="0" xfId="0" applyNumberFormat="1" applyFont="1" applyFill="1" applyAlignment="1">
      <alignment horizontal="justify" vertical="center" wrapText="1"/>
    </xf>
    <xf numFmtId="3" fontId="9" fillId="7" borderId="0" xfId="0" applyNumberFormat="1" applyFont="1" applyFill="1" applyAlignment="1">
      <alignment horizontal="justify" vertical="center" wrapText="1"/>
    </xf>
    <xf numFmtId="3" fontId="0" fillId="23" borderId="1" xfId="0" applyNumberFormat="1" applyFill="1" applyBorder="1"/>
    <xf numFmtId="3" fontId="0" fillId="24" borderId="1" xfId="0" applyNumberFormat="1" applyFill="1" applyBorder="1"/>
    <xf numFmtId="3" fontId="0" fillId="14" borderId="1" xfId="0" applyNumberFormat="1" applyFill="1" applyBorder="1"/>
    <xf numFmtId="3" fontId="2" fillId="14" borderId="1" xfId="0" applyNumberFormat="1" applyFont="1" applyFill="1" applyBorder="1"/>
    <xf numFmtId="9" fontId="0" fillId="24" borderId="1" xfId="1" applyFont="1" applyFill="1" applyBorder="1"/>
    <xf numFmtId="9" fontId="0" fillId="23" borderId="1" xfId="1" applyFont="1" applyFill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0" fontId="35" fillId="14" borderId="1" xfId="0" applyFont="1" applyFill="1" applyBorder="1" applyProtection="1">
      <protection hidden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3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0" fillId="14" borderId="1" xfId="0" applyNumberFormat="1" applyFont="1" applyFill="1" applyBorder="1"/>
    <xf numFmtId="3" fontId="64" fillId="14" borderId="0" xfId="0" applyNumberFormat="1" applyFont="1" applyFill="1"/>
    <xf numFmtId="9" fontId="5" fillId="0" borderId="1" xfId="1" applyFont="1" applyBorder="1" applyAlignment="1">
      <alignment horizontal="center"/>
    </xf>
    <xf numFmtId="3" fontId="24" fillId="24" borderId="1" xfId="0" applyNumberFormat="1" applyFont="1" applyFill="1" applyBorder="1"/>
    <xf numFmtId="0" fontId="65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9" fillId="2" borderId="1" xfId="0" applyFont="1" applyFill="1" applyBorder="1"/>
    <xf numFmtId="0" fontId="24" fillId="0" borderId="0" xfId="0" applyFont="1" applyAlignment="1">
      <alignment horizontal="center"/>
    </xf>
    <xf numFmtId="0" fontId="24" fillId="0" borderId="0" xfId="0" applyFont="1"/>
    <xf numFmtId="3" fontId="24" fillId="23" borderId="1" xfId="0" applyNumberFormat="1" applyFont="1" applyFill="1" applyBorder="1"/>
    <xf numFmtId="3" fontId="17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9" fontId="24" fillId="14" borderId="1" xfId="1" applyFont="1" applyFill="1" applyBorder="1"/>
    <xf numFmtId="3" fontId="24" fillId="14" borderId="1" xfId="0" applyNumberFormat="1" applyFont="1" applyFill="1" applyBorder="1"/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horizontal="center" vertical="center" wrapText="1"/>
    </xf>
    <xf numFmtId="170" fontId="0" fillId="0" borderId="1" xfId="0" applyNumberFormat="1" applyBorder="1"/>
    <xf numFmtId="170" fontId="2" fillId="3" borderId="1" xfId="0" applyNumberFormat="1" applyFont="1" applyFill="1" applyBorder="1"/>
    <xf numFmtId="170" fontId="11" fillId="0" borderId="0" xfId="0" applyNumberFormat="1" applyFont="1"/>
    <xf numFmtId="170" fontId="0" fillId="0" borderId="0" xfId="0" applyNumberFormat="1"/>
    <xf numFmtId="170" fontId="2" fillId="0" borderId="1" xfId="0" applyNumberFormat="1" applyFont="1" applyBorder="1"/>
    <xf numFmtId="170" fontId="6" fillId="5" borderId="1" xfId="0" applyNumberFormat="1" applyFont="1" applyFill="1" applyBorder="1"/>
    <xf numFmtId="170" fontId="2" fillId="2" borderId="1" xfId="0" applyNumberFormat="1" applyFont="1" applyFill="1" applyBorder="1"/>
    <xf numFmtId="170" fontId="16" fillId="0" borderId="0" xfId="0" applyNumberFormat="1" applyFont="1" applyAlignment="1">
      <alignment horizontal="center"/>
    </xf>
    <xf numFmtId="170" fontId="31" fillId="0" borderId="0" xfId="0" applyNumberFormat="1" applyFont="1"/>
    <xf numFmtId="170" fontId="3" fillId="0" borderId="0" xfId="0" applyNumberFormat="1" applyFont="1" applyAlignment="1">
      <alignment wrapText="1"/>
    </xf>
    <xf numFmtId="170" fontId="20" fillId="0" borderId="1" xfId="0" applyNumberFormat="1" applyFont="1" applyBorder="1"/>
    <xf numFmtId="170" fontId="8" fillId="0" borderId="0" xfId="0" applyNumberFormat="1" applyFont="1"/>
    <xf numFmtId="170" fontId="2" fillId="0" borderId="0" xfId="0" applyNumberFormat="1" applyFont="1"/>
    <xf numFmtId="170" fontId="72" fillId="0" borderId="1" xfId="0" applyNumberFormat="1" applyFont="1" applyBorder="1"/>
    <xf numFmtId="170" fontId="72" fillId="5" borderId="1" xfId="0" applyNumberFormat="1" applyFont="1" applyFill="1" applyBorder="1"/>
    <xf numFmtId="170" fontId="72" fillId="0" borderId="0" xfId="0" applyNumberFormat="1" applyFont="1"/>
    <xf numFmtId="0" fontId="22" fillId="14" borderId="1" xfId="0" applyFont="1" applyFill="1" applyBorder="1"/>
    <xf numFmtId="0" fontId="5" fillId="0" borderId="0" xfId="0" applyFont="1"/>
    <xf numFmtId="0" fontId="0" fillId="0" borderId="0" xfId="0" applyAlignment="1">
      <alignment horizontal="center" wrapText="1"/>
    </xf>
    <xf numFmtId="0" fontId="7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3" fillId="0" borderId="0" xfId="0" applyFont="1"/>
    <xf numFmtId="0" fontId="1" fillId="0" borderId="1" xfId="0" applyFont="1" applyBorder="1" applyAlignment="1">
      <alignment horizontal="center"/>
    </xf>
    <xf numFmtId="0" fontId="2" fillId="25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17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/>
    </xf>
    <xf numFmtId="9" fontId="28" fillId="0" borderId="1" xfId="1" applyFont="1" applyBorder="1" applyAlignment="1">
      <alignment horizontal="center"/>
    </xf>
    <xf numFmtId="0" fontId="74" fillId="0" borderId="1" xfId="0" applyFont="1" applyBorder="1"/>
    <xf numFmtId="0" fontId="74" fillId="0" borderId="6" xfId="0" applyFont="1" applyBorder="1" applyAlignment="1">
      <alignment horizontal="center"/>
    </xf>
    <xf numFmtId="1" fontId="75" fillId="0" borderId="6" xfId="0" applyNumberFormat="1" applyFont="1" applyBorder="1" applyAlignment="1">
      <alignment horizontal="center"/>
    </xf>
    <xf numFmtId="1" fontId="28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4" fillId="7" borderId="0" xfId="0" applyFont="1" applyFill="1" applyAlignment="1">
      <alignment horizontal="center"/>
    </xf>
    <xf numFmtId="1" fontId="2" fillId="25" borderId="0" xfId="0" applyNumberFormat="1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9" fontId="24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9" fontId="74" fillId="0" borderId="0" xfId="1" applyFont="1" applyAlignment="1">
      <alignment horizontal="center"/>
    </xf>
    <xf numFmtId="0" fontId="74" fillId="0" borderId="0" xfId="0" applyFont="1"/>
    <xf numFmtId="1" fontId="74" fillId="0" borderId="0" xfId="0" applyNumberFormat="1" applyFont="1" applyAlignment="1">
      <alignment horizontal="center"/>
    </xf>
    <xf numFmtId="0" fontId="74" fillId="0" borderId="0" xfId="0" applyFont="1" applyAlignment="1">
      <alignment horizontal="center"/>
    </xf>
    <xf numFmtId="0" fontId="76" fillId="0" borderId="0" xfId="0" applyFont="1"/>
    <xf numFmtId="0" fontId="77" fillId="0" borderId="1" xfId="0" applyFont="1" applyBorder="1"/>
    <xf numFmtId="0" fontId="78" fillId="0" borderId="6" xfId="0" applyFont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75" fillId="0" borderId="1" xfId="0" applyFont="1" applyBorder="1" applyAlignment="1">
      <alignment horizontal="center"/>
    </xf>
    <xf numFmtId="1" fontId="19" fillId="0" borderId="6" xfId="0" applyNumberFormat="1" applyFont="1" applyBorder="1" applyAlignment="1">
      <alignment horizontal="center"/>
    </xf>
    <xf numFmtId="0" fontId="75" fillId="0" borderId="6" xfId="0" applyFont="1" applyBorder="1" applyAlignment="1">
      <alignment horizontal="center"/>
    </xf>
    <xf numFmtId="0" fontId="79" fillId="0" borderId="1" xfId="0" applyFont="1" applyBorder="1"/>
    <xf numFmtId="0" fontId="80" fillId="0" borderId="6" xfId="0" applyFont="1" applyBorder="1" applyAlignment="1">
      <alignment horizontal="center"/>
    </xf>
    <xf numFmtId="0" fontId="1" fillId="0" borderId="0" xfId="0" applyFont="1"/>
    <xf numFmtId="0" fontId="0" fillId="26" borderId="0" xfId="0" applyFill="1"/>
    <xf numFmtId="0" fontId="81" fillId="0" borderId="0" xfId="0" applyFont="1" applyAlignment="1">
      <alignment horizontal="left"/>
    </xf>
    <xf numFmtId="0" fontId="82" fillId="0" borderId="0" xfId="0" applyFont="1"/>
    <xf numFmtId="0" fontId="83" fillId="27" borderId="1" xfId="0" applyFont="1" applyFill="1" applyBorder="1" applyAlignment="1">
      <alignment horizontal="left" vertical="center" wrapText="1"/>
    </xf>
    <xf numFmtId="0" fontId="83" fillId="27" borderId="1" xfId="0" applyFont="1" applyFill="1" applyBorder="1" applyAlignment="1">
      <alignment horizontal="center" vertical="center" wrapText="1"/>
    </xf>
    <xf numFmtId="0" fontId="85" fillId="0" borderId="1" xfId="0" applyFont="1" applyBorder="1" applyAlignment="1">
      <alignment vertical="center" wrapText="1"/>
    </xf>
    <xf numFmtId="0" fontId="86" fillId="0" borderId="1" xfId="0" applyFont="1" applyBorder="1" applyAlignment="1">
      <alignment vertical="center" wrapText="1"/>
    </xf>
    <xf numFmtId="0" fontId="85" fillId="0" borderId="1" xfId="0" applyFont="1" applyBorder="1" applyAlignment="1">
      <alignment horizontal="center" vertical="center" wrapText="1"/>
    </xf>
    <xf numFmtId="0" fontId="85" fillId="14" borderId="1" xfId="0" applyFont="1" applyFill="1" applyBorder="1" applyAlignment="1">
      <alignment horizontal="center" vertical="center" wrapText="1"/>
    </xf>
    <xf numFmtId="9" fontId="86" fillId="0" borderId="1" xfId="1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 wrapText="1"/>
    </xf>
    <xf numFmtId="0" fontId="88" fillId="0" borderId="0" xfId="0" applyFont="1"/>
    <xf numFmtId="0" fontId="86" fillId="0" borderId="6" xfId="0" applyFont="1" applyBorder="1" applyAlignment="1">
      <alignment vertical="center" wrapText="1"/>
    </xf>
    <xf numFmtId="0" fontId="86" fillId="0" borderId="6" xfId="0" applyFont="1" applyBorder="1" applyAlignment="1">
      <alignment horizontal="left" vertical="center" wrapText="1"/>
    </xf>
    <xf numFmtId="0" fontId="82" fillId="0" borderId="0" xfId="0" applyFont="1" applyAlignment="1">
      <alignment vertical="top" wrapText="1"/>
    </xf>
    <xf numFmtId="0" fontId="82" fillId="0" borderId="0" xfId="0" applyFont="1" applyAlignment="1">
      <alignment horizontal="center" vertical="center" wrapText="1"/>
    </xf>
    <xf numFmtId="3" fontId="85" fillId="0" borderId="1" xfId="0" applyNumberFormat="1" applyFont="1" applyBorder="1" applyAlignment="1">
      <alignment horizontal="center" vertical="center" wrapText="1"/>
    </xf>
    <xf numFmtId="3" fontId="89" fillId="14" borderId="1" xfId="0" applyNumberFormat="1" applyFont="1" applyFill="1" applyBorder="1" applyAlignment="1">
      <alignment horizontal="center" vertical="center" wrapText="1"/>
    </xf>
    <xf numFmtId="9" fontId="85" fillId="0" borderId="1" xfId="1" applyFont="1" applyBorder="1" applyAlignment="1">
      <alignment horizontal="center" vertical="center" wrapText="1"/>
    </xf>
    <xf numFmtId="0" fontId="90" fillId="0" borderId="0" xfId="0" applyFont="1"/>
    <xf numFmtId="0" fontId="91" fillId="0" borderId="0" xfId="0" applyFont="1"/>
    <xf numFmtId="0" fontId="1" fillId="0" borderId="7" xfId="0" applyFont="1" applyBorder="1"/>
    <xf numFmtId="4" fontId="0" fillId="0" borderId="0" xfId="0" applyNumberFormat="1"/>
    <xf numFmtId="0" fontId="0" fillId="0" borderId="12" xfId="0" applyBorder="1"/>
    <xf numFmtId="4" fontId="0" fillId="0" borderId="13" xfId="0" applyNumberFormat="1" applyBorder="1"/>
    <xf numFmtId="0" fontId="10" fillId="0" borderId="12" xfId="0" applyFont="1" applyBorder="1"/>
    <xf numFmtId="0" fontId="82" fillId="0" borderId="1" xfId="0" applyFont="1" applyBorder="1" applyAlignment="1">
      <alignment vertical="center" wrapText="1"/>
    </xf>
    <xf numFmtId="0" fontId="83" fillId="27" borderId="1" xfId="0" applyFont="1" applyFill="1" applyBorder="1" applyAlignment="1">
      <alignment vertical="center" wrapText="1"/>
    </xf>
    <xf numFmtId="0" fontId="87" fillId="0" borderId="1" xfId="0" applyFont="1" applyBorder="1" applyAlignment="1">
      <alignment vertical="center" wrapText="1"/>
    </xf>
    <xf numFmtId="1" fontId="82" fillId="0" borderId="1" xfId="0" applyNumberFormat="1" applyFont="1" applyBorder="1" applyAlignment="1">
      <alignment horizontal="center" vertical="center" wrapText="1"/>
    </xf>
    <xf numFmtId="0" fontId="92" fillId="14" borderId="1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3" fontId="5" fillId="24" borderId="1" xfId="0" applyNumberFormat="1" applyFont="1" applyFill="1" applyBorder="1"/>
    <xf numFmtId="9" fontId="5" fillId="24" borderId="1" xfId="1" applyFont="1" applyFill="1" applyBorder="1"/>
    <xf numFmtId="0" fontId="93" fillId="0" borderId="0" xfId="0" applyFont="1"/>
    <xf numFmtId="0" fontId="0" fillId="0" borderId="0" xfId="0" applyAlignment="1">
      <alignment horizontal="center" vertical="center"/>
    </xf>
    <xf numFmtId="0" fontId="94" fillId="5" borderId="1" xfId="0" applyFont="1" applyFill="1" applyBorder="1"/>
    <xf numFmtId="0" fontId="94" fillId="5" borderId="1" xfId="0" applyFont="1" applyFill="1" applyBorder="1" applyAlignment="1">
      <alignment horizontal="center" vertical="center"/>
    </xf>
    <xf numFmtId="0" fontId="95" fillId="0" borderId="1" xfId="0" applyFont="1" applyBorder="1"/>
    <xf numFmtId="3" fontId="0" fillId="0" borderId="1" xfId="0" applyNumberFormat="1" applyBorder="1" applyAlignment="1">
      <alignment horizontal="center" vertical="center"/>
    </xf>
    <xf numFmtId="3" fontId="96" fillId="0" borderId="1" xfId="0" applyNumberFormat="1" applyFont="1" applyBorder="1" applyAlignment="1">
      <alignment horizontal="center" vertical="center"/>
    </xf>
    <xf numFmtId="3" fontId="97" fillId="0" borderId="0" xfId="0" applyNumberFormat="1" applyFont="1" applyAlignment="1">
      <alignment horizontal="center" vertical="center"/>
    </xf>
    <xf numFmtId="0" fontId="96" fillId="0" borderId="0" xfId="0" applyFont="1"/>
    <xf numFmtId="3" fontId="21" fillId="0" borderId="1" xfId="0" applyNumberFormat="1" applyFont="1" applyBorder="1" applyAlignment="1">
      <alignment horizontal="center" vertical="center" wrapText="1"/>
    </xf>
    <xf numFmtId="9" fontId="21" fillId="0" borderId="1" xfId="1" applyFont="1" applyBorder="1" applyAlignment="1">
      <alignment horizontal="center" vertical="center" wrapText="1"/>
    </xf>
    <xf numFmtId="3" fontId="24" fillId="0" borderId="0" xfId="0" applyNumberFormat="1" applyFont="1"/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3" fontId="98" fillId="0" borderId="1" xfId="0" applyNumberFormat="1" applyFont="1" applyBorder="1"/>
    <xf numFmtId="3" fontId="99" fillId="0" borderId="1" xfId="0" applyNumberFormat="1" applyFont="1" applyBorder="1"/>
    <xf numFmtId="3" fontId="5" fillId="23" borderId="1" xfId="0" applyNumberFormat="1" applyFont="1" applyFill="1" applyBorder="1"/>
    <xf numFmtId="9" fontId="5" fillId="14" borderId="1" xfId="1" applyFont="1" applyFill="1" applyBorder="1"/>
    <xf numFmtId="1" fontId="87" fillId="0" borderId="0" xfId="0" applyNumberFormat="1" applyFont="1" applyAlignment="1">
      <alignment horizontal="center" vertical="center" wrapText="1"/>
    </xf>
    <xf numFmtId="0" fontId="82" fillId="0" borderId="0" xfId="0" applyFont="1" applyAlignment="1">
      <alignment horizontal="right" vertical="top"/>
    </xf>
    <xf numFmtId="0" fontId="82" fillId="0" borderId="0" xfId="0" applyFont="1" applyAlignment="1">
      <alignment horizontal="right"/>
    </xf>
    <xf numFmtId="3" fontId="23" fillId="3" borderId="1" xfId="0" applyNumberFormat="1" applyFont="1" applyFill="1" applyBorder="1"/>
    <xf numFmtId="3" fontId="23" fillId="9" borderId="1" xfId="0" applyNumberFormat="1" applyFont="1" applyFill="1" applyBorder="1"/>
    <xf numFmtId="3" fontId="72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/>
    <xf numFmtId="3" fontId="100" fillId="0" borderId="1" xfId="0" applyNumberFormat="1" applyFont="1" applyBorder="1"/>
    <xf numFmtId="3" fontId="100" fillId="10" borderId="1" xfId="0" applyNumberFormat="1" applyFont="1" applyFill="1" applyBorder="1"/>
    <xf numFmtId="3" fontId="100" fillId="0" borderId="0" xfId="0" applyNumberFormat="1" applyFont="1"/>
    <xf numFmtId="3" fontId="101" fillId="0" borderId="1" xfId="0" applyNumberFormat="1" applyFont="1" applyBorder="1"/>
    <xf numFmtId="3" fontId="101" fillId="10" borderId="1" xfId="0" applyNumberFormat="1" applyFont="1" applyFill="1" applyBorder="1"/>
    <xf numFmtId="3" fontId="101" fillId="0" borderId="0" xfId="0" applyNumberFormat="1" applyFont="1"/>
    <xf numFmtId="3" fontId="10" fillId="0" borderId="4" xfId="0" applyNumberFormat="1" applyFont="1" applyBorder="1"/>
    <xf numFmtId="3" fontId="102" fillId="0" borderId="1" xfId="0" applyNumberFormat="1" applyFont="1" applyBorder="1"/>
    <xf numFmtId="3" fontId="102" fillId="10" borderId="1" xfId="0" applyNumberFormat="1" applyFont="1" applyFill="1" applyBorder="1"/>
    <xf numFmtId="3" fontId="103" fillId="0" borderId="1" xfId="0" applyNumberFormat="1" applyFont="1" applyBorder="1"/>
    <xf numFmtId="3" fontId="103" fillId="10" borderId="1" xfId="0" applyNumberFormat="1" applyFont="1" applyFill="1" applyBorder="1"/>
    <xf numFmtId="1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3" fontId="10" fillId="24" borderId="1" xfId="0" applyNumberFormat="1" applyFont="1" applyFill="1" applyBorder="1"/>
    <xf numFmtId="3" fontId="24" fillId="0" borderId="1" xfId="0" applyNumberFormat="1" applyFont="1" applyBorder="1" applyAlignment="1">
      <alignment horizontal="center" vertical="center" wrapText="1"/>
    </xf>
    <xf numFmtId="9" fontId="24" fillId="24" borderId="1" xfId="1" applyFont="1" applyFill="1" applyBorder="1"/>
    <xf numFmtId="3" fontId="64" fillId="24" borderId="0" xfId="0" applyNumberFormat="1" applyFont="1" applyFill="1"/>
    <xf numFmtId="3" fontId="10" fillId="23" borderId="1" xfId="0" applyNumberFormat="1" applyFont="1" applyFill="1" applyBorder="1"/>
    <xf numFmtId="3" fontId="64" fillId="23" borderId="0" xfId="0" applyNumberFormat="1" applyFont="1" applyFill="1"/>
    <xf numFmtId="0" fontId="88" fillId="0" borderId="1" xfId="0" applyFont="1" applyBorder="1" applyAlignment="1">
      <alignment horizontal="center" vertical="center" wrapText="1"/>
    </xf>
    <xf numFmtId="1" fontId="88" fillId="0" borderId="1" xfId="0" applyNumberFormat="1" applyFont="1" applyBorder="1" applyAlignment="1">
      <alignment horizontal="center" vertical="center" wrapText="1"/>
    </xf>
    <xf numFmtId="0" fontId="104" fillId="27" borderId="1" xfId="0" applyFont="1" applyFill="1" applyBorder="1" applyAlignment="1">
      <alignment horizontal="center" vertical="center" wrapText="1"/>
    </xf>
    <xf numFmtId="3" fontId="20" fillId="0" borderId="1" xfId="0" applyNumberFormat="1" applyFont="1" applyBorder="1"/>
    <xf numFmtId="9" fontId="104" fillId="3" borderId="0" xfId="0" applyNumberFormat="1" applyFont="1" applyFill="1" applyAlignment="1">
      <alignment horizontal="center" vertical="center"/>
    </xf>
    <xf numFmtId="0" fontId="104" fillId="0" borderId="0" xfId="0" applyFont="1"/>
    <xf numFmtId="0" fontId="10" fillId="0" borderId="1" xfId="0" applyFont="1" applyBorder="1" applyAlignment="1">
      <alignment horizontal="center"/>
    </xf>
    <xf numFmtId="9" fontId="10" fillId="24" borderId="1" xfId="1" applyFont="1" applyFill="1" applyBorder="1"/>
    <xf numFmtId="3" fontId="10" fillId="24" borderId="1" xfId="0" applyNumberFormat="1" applyFont="1" applyFill="1" applyBorder="1" applyAlignment="1">
      <alignment horizontal="right"/>
    </xf>
    <xf numFmtId="168" fontId="17" fillId="0" borderId="1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9" fontId="10" fillId="14" borderId="1" xfId="1" applyFont="1" applyFill="1" applyBorder="1"/>
    <xf numFmtId="169" fontId="24" fillId="24" borderId="1" xfId="1" applyNumberFormat="1" applyFont="1" applyFill="1" applyBorder="1"/>
    <xf numFmtId="169" fontId="5" fillId="24" borderId="1" xfId="1" applyNumberFormat="1" applyFont="1" applyFill="1" applyBorder="1"/>
    <xf numFmtId="9" fontId="5" fillId="23" borderId="1" xfId="1" applyFont="1" applyFill="1" applyBorder="1"/>
    <xf numFmtId="3" fontId="9" fillId="7" borderId="0" xfId="0" applyNumberFormat="1" applyFont="1" applyFill="1" applyAlignment="1">
      <alignment horizontal="justify" vertical="center"/>
    </xf>
    <xf numFmtId="168" fontId="21" fillId="0" borderId="1" xfId="0" applyNumberFormat="1" applyFont="1" applyBorder="1" applyAlignment="1">
      <alignment horizontal="center" vertical="center" wrapText="1"/>
    </xf>
    <xf numFmtId="3" fontId="12" fillId="13" borderId="1" xfId="0" applyNumberFormat="1" applyFont="1" applyFill="1" applyBorder="1"/>
    <xf numFmtId="3" fontId="84" fillId="0" borderId="1" xfId="0" applyNumberFormat="1" applyFont="1" applyBorder="1" applyAlignment="1">
      <alignment wrapText="1"/>
    </xf>
    <xf numFmtId="10" fontId="107" fillId="0" borderId="1" xfId="1" applyNumberFormat="1" applyFont="1" applyBorder="1" applyAlignment="1">
      <alignment wrapText="1"/>
    </xf>
    <xf numFmtId="10" fontId="108" fillId="0" borderId="1" xfId="1" applyNumberFormat="1" applyFont="1" applyBorder="1"/>
    <xf numFmtId="3" fontId="24" fillId="0" borderId="4" xfId="0" applyNumberFormat="1" applyFont="1" applyBorder="1"/>
    <xf numFmtId="168" fontId="19" fillId="0" borderId="1" xfId="0" applyNumberFormat="1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109" fillId="14" borderId="14" xfId="0" applyFont="1" applyFill="1" applyBorder="1"/>
    <xf numFmtId="3" fontId="64" fillId="0" borderId="0" xfId="0" applyNumberFormat="1" applyFont="1"/>
    <xf numFmtId="0" fontId="64" fillId="0" borderId="0" xfId="0" applyFont="1"/>
    <xf numFmtId="0" fontId="116" fillId="0" borderId="0" xfId="0" applyFont="1"/>
    <xf numFmtId="0" fontId="121" fillId="0" borderId="0" xfId="0" applyFont="1"/>
    <xf numFmtId="0" fontId="27" fillId="0" borderId="0" xfId="0" applyFont="1"/>
    <xf numFmtId="3" fontId="27" fillId="0" borderId="0" xfId="0" applyNumberFormat="1" applyFont="1"/>
    <xf numFmtId="0" fontId="122" fillId="0" borderId="1" xfId="0" applyFont="1" applyBorder="1" applyAlignment="1">
      <alignment horizontal="justify" vertical="center" wrapText="1"/>
    </xf>
    <xf numFmtId="0" fontId="122" fillId="0" borderId="1" xfId="0" applyFont="1" applyBorder="1" applyAlignment="1">
      <alignment horizontal="center" vertical="center" wrapText="1"/>
    </xf>
    <xf numFmtId="3" fontId="122" fillId="0" borderId="1" xfId="0" applyNumberFormat="1" applyFont="1" applyBorder="1" applyAlignment="1">
      <alignment horizontal="center" vertical="center" wrapText="1"/>
    </xf>
    <xf numFmtId="0" fontId="123" fillId="0" borderId="0" xfId="0" applyFont="1"/>
    <xf numFmtId="0" fontId="124" fillId="0" borderId="1" xfId="0" applyFont="1" applyBorder="1" applyAlignment="1">
      <alignment horizontal="justify" vertical="center" wrapText="1"/>
    </xf>
    <xf numFmtId="0" fontId="124" fillId="0" borderId="1" xfId="0" applyFont="1" applyBorder="1" applyAlignment="1">
      <alignment horizontal="center" vertical="center" wrapText="1"/>
    </xf>
    <xf numFmtId="3" fontId="124" fillId="0" borderId="1" xfId="0" applyNumberFormat="1" applyFont="1" applyBorder="1" applyAlignment="1">
      <alignment horizontal="center" vertical="center" wrapText="1"/>
    </xf>
    <xf numFmtId="0" fontId="75" fillId="0" borderId="0" xfId="0" applyFont="1"/>
    <xf numFmtId="0" fontId="61" fillId="0" borderId="1" xfId="0" applyFont="1" applyBorder="1" applyAlignment="1">
      <alignment horizontal="left" vertical="center" wrapText="1"/>
    </xf>
    <xf numFmtId="0" fontId="61" fillId="0" borderId="1" xfId="0" applyFont="1" applyBorder="1" applyAlignment="1">
      <alignment horizontal="center" vertical="center" wrapText="1"/>
    </xf>
    <xf numFmtId="1" fontId="61" fillId="0" borderId="1" xfId="1" applyNumberFormat="1" applyFont="1" applyBorder="1" applyAlignment="1">
      <alignment horizontal="center" vertical="center" wrapText="1"/>
    </xf>
    <xf numFmtId="3" fontId="61" fillId="24" borderId="1" xfId="1" applyNumberFormat="1" applyFont="1" applyFill="1" applyBorder="1"/>
    <xf numFmtId="3" fontId="61" fillId="0" borderId="1" xfId="1" applyNumberFormat="1" applyFont="1" applyBorder="1"/>
    <xf numFmtId="0" fontId="118" fillId="0" borderId="1" xfId="0" applyFont="1" applyBorder="1" applyAlignment="1">
      <alignment horizontal="left" vertical="center" wrapText="1"/>
    </xf>
    <xf numFmtId="0" fontId="118" fillId="0" borderId="1" xfId="0" applyFont="1" applyBorder="1" applyAlignment="1">
      <alignment horizontal="center" vertical="center" wrapText="1"/>
    </xf>
    <xf numFmtId="3" fontId="118" fillId="0" borderId="1" xfId="0" applyNumberFormat="1" applyFont="1" applyBorder="1" applyAlignment="1">
      <alignment horizontal="center" vertical="center" wrapText="1"/>
    </xf>
    <xf numFmtId="3" fontId="118" fillId="23" borderId="1" xfId="0" applyNumberFormat="1" applyFont="1" applyFill="1" applyBorder="1"/>
    <xf numFmtId="3" fontId="118" fillId="0" borderId="1" xfId="0" applyNumberFormat="1" applyFont="1" applyBorder="1"/>
    <xf numFmtId="0" fontId="119" fillId="0" borderId="1" xfId="0" applyFont="1" applyBorder="1" applyAlignment="1">
      <alignment horizontal="center" vertical="center" wrapText="1"/>
    </xf>
    <xf numFmtId="1" fontId="119" fillId="0" borderId="1" xfId="1" applyNumberFormat="1" applyFont="1" applyBorder="1" applyAlignment="1">
      <alignment horizontal="center" vertical="center" wrapText="1"/>
    </xf>
    <xf numFmtId="3" fontId="119" fillId="24" borderId="1" xfId="1" applyNumberFormat="1" applyFont="1" applyFill="1" applyBorder="1"/>
    <xf numFmtId="3" fontId="119" fillId="0" borderId="1" xfId="1" applyNumberFormat="1" applyFont="1" applyBorder="1"/>
    <xf numFmtId="3" fontId="61" fillId="0" borderId="1" xfId="0" applyNumberFormat="1" applyFont="1" applyBorder="1" applyAlignment="1">
      <alignment horizontal="center" vertical="center" wrapText="1"/>
    </xf>
    <xf numFmtId="3" fontId="61" fillId="23" borderId="1" xfId="0" applyNumberFormat="1" applyFont="1" applyFill="1" applyBorder="1"/>
    <xf numFmtId="165" fontId="61" fillId="0" borderId="1" xfId="1" applyNumberFormat="1" applyFont="1" applyBorder="1" applyAlignment="1">
      <alignment horizontal="center" vertical="center" wrapText="1"/>
    </xf>
    <xf numFmtId="0" fontId="125" fillId="0" borderId="1" xfId="0" applyFont="1" applyBorder="1" applyAlignment="1">
      <alignment horizontal="left" vertical="center" wrapText="1"/>
    </xf>
    <xf numFmtId="0" fontId="125" fillId="0" borderId="1" xfId="0" applyFont="1" applyBorder="1" applyAlignment="1">
      <alignment horizontal="center" vertical="center" wrapText="1"/>
    </xf>
    <xf numFmtId="3" fontId="125" fillId="0" borderId="1" xfId="0" applyNumberFormat="1" applyFont="1" applyBorder="1" applyAlignment="1">
      <alignment horizontal="center" vertical="center" wrapText="1"/>
    </xf>
    <xf numFmtId="3" fontId="64" fillId="14" borderId="1" xfId="1" applyNumberFormat="1" applyFont="1" applyFill="1" applyBorder="1"/>
    <xf numFmtId="3" fontId="64" fillId="14" borderId="1" xfId="0" applyNumberFormat="1" applyFont="1" applyFill="1" applyBorder="1"/>
    <xf numFmtId="0" fontId="30" fillId="0" borderId="1" xfId="0" applyFont="1" applyBorder="1" applyAlignment="1">
      <alignment horizontal="left" vertical="center" wrapText="1"/>
    </xf>
    <xf numFmtId="0" fontId="126" fillId="0" borderId="1" xfId="0" applyFont="1" applyBorder="1" applyAlignment="1">
      <alignment horizontal="center" vertical="center" wrapText="1"/>
    </xf>
    <xf numFmtId="3" fontId="12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56" fillId="29" borderId="0" xfId="0" applyFont="1" applyFill="1"/>
    <xf numFmtId="0" fontId="122" fillId="29" borderId="0" xfId="0" applyFont="1" applyFill="1"/>
    <xf numFmtId="0" fontId="56" fillId="14" borderId="0" xfId="0" applyFont="1" applyFill="1"/>
    <xf numFmtId="3" fontId="1" fillId="14" borderId="0" xfId="0" applyNumberFormat="1" applyFont="1" applyFill="1"/>
    <xf numFmtId="0" fontId="117" fillId="0" borderId="0" xfId="0" applyFont="1"/>
    <xf numFmtId="9" fontId="73" fillId="0" borderId="0" xfId="1" applyFont="1"/>
    <xf numFmtId="0" fontId="94" fillId="3" borderId="0" xfId="0" applyFont="1" applyFill="1"/>
    <xf numFmtId="0" fontId="94" fillId="3" borderId="1" xfId="0" applyFont="1" applyFill="1" applyBorder="1" applyAlignment="1">
      <alignment horizontal="center"/>
    </xf>
    <xf numFmtId="0" fontId="127" fillId="0" borderId="0" xfId="0" applyFont="1" applyAlignment="1">
      <alignment horizontal="center" vertical="center"/>
    </xf>
    <xf numFmtId="0" fontId="94" fillId="0" borderId="1" xfId="0" applyFont="1" applyBorder="1"/>
    <xf numFmtId="3" fontId="94" fillId="0" borderId="1" xfId="0" applyNumberFormat="1" applyFont="1" applyBorder="1" applyAlignment="1">
      <alignment horizontal="center"/>
    </xf>
    <xf numFmtId="3" fontId="127" fillId="0" borderId="15" xfId="0" applyNumberFormat="1" applyFont="1" applyBorder="1" applyAlignment="1">
      <alignment horizontal="center" vertical="center"/>
    </xf>
    <xf numFmtId="0" fontId="128" fillId="0" borderId="1" xfId="0" applyFont="1" applyBorder="1"/>
    <xf numFmtId="3" fontId="0" fillId="0" borderId="1" xfId="0" applyNumberFormat="1" applyBorder="1" applyAlignment="1">
      <alignment horizontal="center"/>
    </xf>
    <xf numFmtId="3" fontId="129" fillId="0" borderId="15" xfId="0" applyNumberFormat="1" applyFont="1" applyBorder="1" applyAlignment="1">
      <alignment horizontal="center" vertical="center"/>
    </xf>
    <xf numFmtId="0" fontId="130" fillId="0" borderId="1" xfId="0" applyFont="1" applyBorder="1" applyAlignment="1">
      <alignment horizontal="left" indent="1"/>
    </xf>
    <xf numFmtId="3" fontId="130" fillId="0" borderId="1" xfId="0" applyNumberFormat="1" applyFont="1" applyBorder="1" applyAlignment="1">
      <alignment horizontal="center"/>
    </xf>
    <xf numFmtId="3" fontId="131" fillId="0" borderId="1" xfId="0" applyNumberFormat="1" applyFont="1" applyBorder="1" applyAlignment="1">
      <alignment horizontal="center"/>
    </xf>
    <xf numFmtId="0" fontId="132" fillId="13" borderId="1" xfId="0" applyFont="1" applyFill="1" applyBorder="1"/>
    <xf numFmtId="3" fontId="132" fillId="13" borderId="1" xfId="0" applyNumberFormat="1" applyFont="1" applyFill="1" applyBorder="1" applyAlignment="1">
      <alignment horizontal="center"/>
    </xf>
    <xf numFmtId="3" fontId="127" fillId="13" borderId="15" xfId="0" applyNumberFormat="1" applyFont="1" applyFill="1" applyBorder="1" applyAlignment="1">
      <alignment horizontal="center" vertical="center"/>
    </xf>
    <xf numFmtId="0" fontId="128" fillId="0" borderId="0" xfId="0" applyFont="1"/>
    <xf numFmtId="0" fontId="127" fillId="13" borderId="1" xfId="0" applyFont="1" applyFill="1" applyBorder="1"/>
    <xf numFmtId="3" fontId="127" fillId="13" borderId="1" xfId="0" applyNumberFormat="1" applyFont="1" applyFill="1" applyBorder="1" applyAlignment="1">
      <alignment horizontal="center"/>
    </xf>
    <xf numFmtId="0" fontId="133" fillId="0" borderId="1" xfId="0" applyFont="1" applyBorder="1"/>
    <xf numFmtId="3" fontId="133" fillId="0" borderId="1" xfId="0" applyNumberFormat="1" applyFont="1" applyBorder="1" applyAlignment="1">
      <alignment horizontal="center"/>
    </xf>
    <xf numFmtId="0" fontId="130" fillId="14" borderId="1" xfId="0" applyFont="1" applyFill="1" applyBorder="1" applyAlignment="1">
      <alignment horizontal="left" indent="1"/>
    </xf>
    <xf numFmtId="0" fontId="130" fillId="14" borderId="1" xfId="0" applyFont="1" applyFill="1" applyBorder="1" applyAlignment="1">
      <alignment horizontal="center"/>
    </xf>
    <xf numFmtId="3" fontId="130" fillId="14" borderId="1" xfId="0" applyNumberFormat="1" applyFont="1" applyFill="1" applyBorder="1" applyAlignment="1">
      <alignment horizontal="center"/>
    </xf>
    <xf numFmtId="3" fontId="130" fillId="14" borderId="15" xfId="0" applyNumberFormat="1" applyFont="1" applyFill="1" applyBorder="1" applyAlignment="1">
      <alignment horizontal="center" vertical="center"/>
    </xf>
    <xf numFmtId="3" fontId="130" fillId="0" borderId="15" xfId="0" applyNumberFormat="1" applyFont="1" applyBorder="1" applyAlignment="1">
      <alignment horizontal="center" vertical="center"/>
    </xf>
    <xf numFmtId="9" fontId="126" fillId="0" borderId="1" xfId="1" applyFont="1" applyBorder="1" applyAlignment="1">
      <alignment horizontal="center" vertical="center" wrapText="1"/>
    </xf>
    <xf numFmtId="171" fontId="82" fillId="14" borderId="1" xfId="0" applyNumberFormat="1" applyFont="1" applyFill="1" applyBorder="1" applyAlignment="1">
      <alignment wrapText="1"/>
    </xf>
    <xf numFmtId="171" fontId="87" fillId="0" borderId="1" xfId="0" applyNumberFormat="1" applyFont="1" applyBorder="1" applyAlignment="1">
      <alignment wrapText="1"/>
    </xf>
    <xf numFmtId="171" fontId="82" fillId="0" borderId="1" xfId="0" applyNumberFormat="1" applyFont="1" applyBorder="1"/>
    <xf numFmtId="171" fontId="87" fillId="0" borderId="1" xfId="0" applyNumberFormat="1" applyFont="1" applyBorder="1"/>
    <xf numFmtId="171" fontId="87" fillId="0" borderId="1" xfId="0" applyNumberFormat="1" applyFont="1" applyBorder="1" applyAlignment="1">
      <alignment horizontal="right" wrapText="1"/>
    </xf>
    <xf numFmtId="171" fontId="0" fillId="0" borderId="0" xfId="0" applyNumberFormat="1"/>
    <xf numFmtId="171" fontId="24" fillId="0" borderId="0" xfId="0" applyNumberFormat="1" applyFont="1"/>
    <xf numFmtId="171" fontId="19" fillId="0" borderId="0" xfId="0" applyNumberFormat="1" applyFont="1"/>
    <xf numFmtId="171" fontId="121" fillId="0" borderId="0" xfId="0" applyNumberFormat="1" applyFont="1"/>
    <xf numFmtId="171" fontId="111" fillId="0" borderId="0" xfId="0" applyNumberFormat="1" applyFont="1"/>
    <xf numFmtId="171" fontId="39" fillId="14" borderId="0" xfId="0" applyNumberFormat="1" applyFont="1" applyFill="1"/>
    <xf numFmtId="171" fontId="109" fillId="14" borderId="14" xfId="0" applyNumberFormat="1" applyFont="1" applyFill="1" applyBorder="1"/>
    <xf numFmtId="171" fontId="35" fillId="0" borderId="0" xfId="0" applyNumberFormat="1" applyFont="1" applyAlignment="1">
      <alignment horizontal="left" vertical="center" wrapText="1"/>
    </xf>
    <xf numFmtId="171" fontId="44" fillId="0" borderId="0" xfId="0" applyNumberFormat="1" applyFont="1" applyAlignment="1">
      <alignment horizontal="left" vertical="center" wrapText="1"/>
    </xf>
    <xf numFmtId="171" fontId="0" fillId="28" borderId="0" xfId="0" applyNumberFormat="1" applyFill="1"/>
    <xf numFmtId="172" fontId="82" fillId="0" borderId="1" xfId="0" applyNumberFormat="1" applyFont="1" applyBorder="1"/>
    <xf numFmtId="172" fontId="87" fillId="0" borderId="1" xfId="0" applyNumberFormat="1" applyFont="1" applyBorder="1"/>
    <xf numFmtId="172" fontId="82" fillId="14" borderId="1" xfId="0" applyNumberFormat="1" applyFont="1" applyFill="1" applyBorder="1" applyAlignment="1">
      <alignment wrapText="1"/>
    </xf>
    <xf numFmtId="172" fontId="87" fillId="14" borderId="1" xfId="0" applyNumberFormat="1" applyFont="1" applyFill="1" applyBorder="1" applyAlignment="1">
      <alignment wrapText="1"/>
    </xf>
    <xf numFmtId="172" fontId="0" fillId="0" borderId="0" xfId="0" applyNumberFormat="1"/>
    <xf numFmtId="172" fontId="24" fillId="0" borderId="0" xfId="0" applyNumberFormat="1" applyFont="1"/>
    <xf numFmtId="172" fontId="19" fillId="0" borderId="0" xfId="0" applyNumberFormat="1" applyFont="1"/>
    <xf numFmtId="172" fontId="64" fillId="0" borderId="0" xfId="0" applyNumberFormat="1" applyFont="1"/>
    <xf numFmtId="172" fontId="121" fillId="0" borderId="0" xfId="0" applyNumberFormat="1" applyFont="1"/>
    <xf numFmtId="172" fontId="61" fillId="0" borderId="0" xfId="0" applyNumberFormat="1" applyFont="1"/>
    <xf numFmtId="172" fontId="1" fillId="0" borderId="0" xfId="0" applyNumberFormat="1" applyFont="1"/>
    <xf numFmtId="172" fontId="109" fillId="14" borderId="14" xfId="0" applyNumberFormat="1" applyFont="1" applyFill="1" applyBorder="1"/>
    <xf numFmtId="172" fontId="110" fillId="28" borderId="14" xfId="0" applyNumberFormat="1" applyFont="1" applyFill="1" applyBorder="1"/>
    <xf numFmtId="172" fontId="114" fillId="2" borderId="14" xfId="0" applyNumberFormat="1" applyFont="1" applyFill="1" applyBorder="1"/>
    <xf numFmtId="172" fontId="39" fillId="0" borderId="0" xfId="0" applyNumberFormat="1" applyFont="1"/>
    <xf numFmtId="172" fontId="35" fillId="28" borderId="0" xfId="0" applyNumberFormat="1" applyFont="1" applyFill="1"/>
    <xf numFmtId="172" fontId="113" fillId="2" borderId="0" xfId="0" applyNumberFormat="1" applyFont="1" applyFill="1"/>
    <xf numFmtId="172" fontId="116" fillId="0" borderId="0" xfId="0" applyNumberFormat="1" applyFont="1"/>
    <xf numFmtId="172" fontId="51" fillId="0" borderId="0" xfId="0" applyNumberFormat="1" applyFont="1"/>
    <xf numFmtId="172" fontId="51" fillId="0" borderId="0" xfId="1" applyNumberFormat="1" applyFont="1"/>
    <xf numFmtId="172" fontId="105" fillId="28" borderId="0" xfId="1" applyNumberFormat="1" applyFont="1" applyFill="1"/>
    <xf numFmtId="172" fontId="54" fillId="0" borderId="0" xfId="0" applyNumberFormat="1" applyFont="1"/>
    <xf numFmtId="172" fontId="44" fillId="28" borderId="0" xfId="0" applyNumberFormat="1" applyFont="1" applyFill="1"/>
    <xf numFmtId="172" fontId="106" fillId="28" borderId="0" xfId="1" applyNumberFormat="1" applyFont="1" applyFill="1"/>
    <xf numFmtId="172" fontId="112" fillId="2" borderId="0" xfId="1" applyNumberFormat="1" applyFont="1" applyFill="1"/>
    <xf numFmtId="173" fontId="82" fillId="0" borderId="1" xfId="1" applyNumberFormat="1" applyFont="1" applyBorder="1"/>
    <xf numFmtId="173" fontId="87" fillId="0" borderId="1" xfId="1" applyNumberFormat="1" applyFont="1" applyBorder="1"/>
    <xf numFmtId="3" fontId="64" fillId="0" borderId="0" xfId="0" applyNumberFormat="1" applyFont="1" applyAlignment="1">
      <alignment horizontal="center" vertical="center" wrapText="1"/>
    </xf>
    <xf numFmtId="172" fontId="135" fillId="0" borderId="1" xfId="0" applyNumberFormat="1" applyFont="1" applyBorder="1"/>
    <xf numFmtId="173" fontId="135" fillId="0" borderId="1" xfId="1" applyNumberFormat="1" applyFont="1" applyBorder="1"/>
    <xf numFmtId="172" fontId="86" fillId="0" borderId="1" xfId="0" applyNumberFormat="1" applyFont="1" applyBorder="1"/>
    <xf numFmtId="171" fontId="86" fillId="0" borderId="1" xfId="0" applyNumberFormat="1" applyFont="1" applyBorder="1"/>
    <xf numFmtId="171" fontId="85" fillId="0" borderId="1" xfId="0" applyNumberFormat="1" applyFont="1" applyBorder="1"/>
    <xf numFmtId="3" fontId="136" fillId="0" borderId="0" xfId="0" applyNumberFormat="1" applyFont="1"/>
    <xf numFmtId="9" fontId="20" fillId="14" borderId="1" xfId="1" applyFont="1" applyFill="1" applyBorder="1"/>
    <xf numFmtId="9" fontId="10" fillId="0" borderId="1" xfId="1" applyFont="1" applyBorder="1"/>
    <xf numFmtId="9" fontId="20" fillId="0" borderId="1" xfId="1" applyFont="1" applyBorder="1"/>
    <xf numFmtId="173" fontId="86" fillId="0" borderId="1" xfId="1" applyNumberFormat="1" applyFont="1" applyBorder="1"/>
    <xf numFmtId="9" fontId="64" fillId="16" borderId="0" xfId="0" applyNumberFormat="1" applyFont="1" applyFill="1"/>
    <xf numFmtId="169" fontId="0" fillId="0" borderId="0" xfId="1" applyNumberFormat="1" applyFont="1"/>
    <xf numFmtId="169" fontId="9" fillId="7" borderId="0" xfId="1" applyNumberFormat="1" applyFont="1" applyFill="1" applyAlignment="1">
      <alignment horizontal="justify" vertical="center" wrapText="1"/>
    </xf>
    <xf numFmtId="0" fontId="137" fillId="0" borderId="0" xfId="0" applyFont="1" applyAlignment="1">
      <alignment vertical="center"/>
    </xf>
    <xf numFmtId="0" fontId="138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82" fillId="0" borderId="0" xfId="0" applyFont="1" applyAlignment="1">
      <alignment horizontal="center" vertical="center"/>
    </xf>
    <xf numFmtId="3" fontId="82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0" fontId="140" fillId="0" borderId="0" xfId="0" applyFont="1" applyAlignment="1">
      <alignment vertical="center"/>
    </xf>
    <xf numFmtId="0" fontId="141" fillId="3" borderId="1" xfId="0" applyFont="1" applyFill="1" applyBorder="1" applyAlignment="1">
      <alignment vertical="center"/>
    </xf>
    <xf numFmtId="0" fontId="87" fillId="3" borderId="1" xfId="0" applyFont="1" applyFill="1" applyBorder="1" applyAlignment="1">
      <alignment vertical="center" wrapText="1"/>
    </xf>
    <xf numFmtId="0" fontId="87" fillId="3" borderId="1" xfId="0" applyFont="1" applyFill="1" applyBorder="1" applyAlignment="1">
      <alignment horizontal="center" vertical="center"/>
    </xf>
    <xf numFmtId="3" fontId="87" fillId="3" borderId="1" xfId="0" applyNumberFormat="1" applyFont="1" applyFill="1" applyBorder="1" applyAlignment="1">
      <alignment horizontal="center" vertical="center"/>
    </xf>
    <xf numFmtId="0" fontId="87" fillId="3" borderId="1" xfId="0" applyFont="1" applyFill="1" applyBorder="1" applyAlignment="1">
      <alignment vertical="center"/>
    </xf>
    <xf numFmtId="0" fontId="139" fillId="0" borderId="2" xfId="0" applyFont="1" applyBorder="1" applyAlignment="1">
      <alignment vertical="center" wrapText="1"/>
    </xf>
    <xf numFmtId="0" fontId="139" fillId="8" borderId="1" xfId="0" applyFont="1" applyFill="1" applyBorder="1" applyAlignment="1">
      <alignment horizontal="center" vertical="center"/>
    </xf>
    <xf numFmtId="0" fontId="139" fillId="14" borderId="1" xfId="0" applyFont="1" applyFill="1" applyBorder="1" applyAlignment="1">
      <alignment horizontal="center" vertical="center"/>
    </xf>
    <xf numFmtId="0" fontId="143" fillId="0" borderId="9" xfId="0" applyFont="1" applyBorder="1" applyAlignment="1">
      <alignment vertical="center"/>
    </xf>
    <xf numFmtId="0" fontId="144" fillId="0" borderId="9" xfId="0" applyFont="1" applyBorder="1" applyAlignment="1">
      <alignment horizontal="center" vertical="center"/>
    </xf>
    <xf numFmtId="3" fontId="144" fillId="0" borderId="9" xfId="0" applyNumberFormat="1" applyFont="1" applyBorder="1" applyAlignment="1">
      <alignment horizontal="center" vertical="center"/>
    </xf>
    <xf numFmtId="170" fontId="144" fillId="0" borderId="9" xfId="0" applyNumberFormat="1" applyFont="1" applyBorder="1" applyAlignment="1">
      <alignment horizontal="right" vertical="center"/>
    </xf>
    <xf numFmtId="0" fontId="144" fillId="0" borderId="9" xfId="0" applyFont="1" applyBorder="1" applyAlignment="1">
      <alignment vertical="center"/>
    </xf>
    <xf numFmtId="170" fontId="143" fillId="0" borderId="9" xfId="0" applyNumberFormat="1" applyFont="1" applyBorder="1" applyAlignment="1">
      <alignment vertical="center"/>
    </xf>
    <xf numFmtId="0" fontId="140" fillId="0" borderId="0" xfId="0" applyFont="1" applyAlignment="1">
      <alignment vertical="center" wrapText="1"/>
    </xf>
    <xf numFmtId="0" fontId="145" fillId="4" borderId="16" xfId="0" applyFont="1" applyFill="1" applyBorder="1" applyAlignment="1">
      <alignment vertical="center"/>
    </xf>
    <xf numFmtId="0" fontId="145" fillId="4" borderId="7" xfId="0" applyFont="1" applyFill="1" applyBorder="1" applyAlignment="1">
      <alignment horizontal="center" vertical="center"/>
    </xf>
    <xf numFmtId="0" fontId="145" fillId="4" borderId="7" xfId="0" applyFont="1" applyFill="1" applyBorder="1" applyAlignment="1">
      <alignment vertical="center"/>
    </xf>
    <xf numFmtId="0" fontId="145" fillId="4" borderId="17" xfId="0" applyFont="1" applyFill="1" applyBorder="1" applyAlignment="1">
      <alignment vertical="center"/>
    </xf>
    <xf numFmtId="0" fontId="140" fillId="0" borderId="1" xfId="0" applyFont="1" applyBorder="1" applyAlignment="1">
      <alignment vertical="center" wrapText="1"/>
    </xf>
    <xf numFmtId="0" fontId="146" fillId="6" borderId="0" xfId="0" applyFont="1" applyFill="1" applyAlignment="1">
      <alignment vertical="center"/>
    </xf>
    <xf numFmtId="0" fontId="87" fillId="6" borderId="0" xfId="0" applyFont="1" applyFill="1" applyAlignment="1">
      <alignment horizontal="center" vertical="center"/>
    </xf>
    <xf numFmtId="170" fontId="87" fillId="6" borderId="0" xfId="0" applyNumberFormat="1" applyFont="1" applyFill="1" applyAlignment="1">
      <alignment horizontal="right" vertical="center"/>
    </xf>
    <xf numFmtId="170" fontId="146" fillId="6" borderId="0" xfId="0" applyNumberFormat="1" applyFont="1" applyFill="1" applyAlignment="1">
      <alignment vertical="center"/>
    </xf>
    <xf numFmtId="0" fontId="140" fillId="6" borderId="0" xfId="0" applyFont="1" applyFill="1" applyAlignment="1">
      <alignment vertical="center"/>
    </xf>
    <xf numFmtId="0" fontId="138" fillId="0" borderId="1" xfId="0" applyFont="1" applyBorder="1" applyAlignment="1">
      <alignment vertical="center"/>
    </xf>
    <xf numFmtId="0" fontId="86" fillId="0" borderId="1" xfId="0" applyFont="1" applyBorder="1" applyAlignment="1">
      <alignment horizontal="center" vertical="center"/>
    </xf>
    <xf numFmtId="3" fontId="86" fillId="0" borderId="1" xfId="0" applyNumberFormat="1" applyFont="1" applyBorder="1" applyAlignment="1">
      <alignment horizontal="center" vertical="center"/>
    </xf>
    <xf numFmtId="170" fontId="86" fillId="0" borderId="1" xfId="0" applyNumberFormat="1" applyFont="1" applyBorder="1" applyAlignment="1">
      <alignment horizontal="right" vertical="center"/>
    </xf>
    <xf numFmtId="170" fontId="86" fillId="0" borderId="1" xfId="0" applyNumberFormat="1" applyFont="1" applyBorder="1" applyAlignment="1">
      <alignment vertical="center"/>
    </xf>
    <xf numFmtId="170" fontId="147" fillId="0" borderId="0" xfId="0" applyNumberFormat="1" applyFont="1" applyAlignment="1">
      <alignment vertical="center"/>
    </xf>
    <xf numFmtId="0" fontId="148" fillId="0" borderId="1" xfId="0" applyFont="1" applyBorder="1" applyAlignment="1">
      <alignment vertical="center" wrapText="1"/>
    </xf>
    <xf numFmtId="170" fontId="140" fillId="0" borderId="1" xfId="0" applyNumberFormat="1" applyFont="1" applyBorder="1" applyAlignment="1">
      <alignment horizontal="right" vertical="center"/>
    </xf>
    <xf numFmtId="0" fontId="149" fillId="0" borderId="0" xfId="0" applyFont="1" applyAlignment="1">
      <alignment vertical="center"/>
    </xf>
    <xf numFmtId="0" fontId="150" fillId="7" borderId="0" xfId="0" applyFont="1" applyFill="1" applyAlignment="1">
      <alignment vertical="center"/>
    </xf>
    <xf numFmtId="0" fontId="151" fillId="7" borderId="0" xfId="0" applyFont="1" applyFill="1" applyAlignment="1">
      <alignment horizontal="center" vertical="center"/>
    </xf>
    <xf numFmtId="170" fontId="151" fillId="7" borderId="0" xfId="0" applyNumberFormat="1" applyFont="1" applyFill="1" applyAlignment="1">
      <alignment horizontal="right" vertical="center"/>
    </xf>
    <xf numFmtId="170" fontId="150" fillId="7" borderId="0" xfId="0" applyNumberFormat="1" applyFont="1" applyFill="1" applyAlignment="1">
      <alignment vertical="center"/>
    </xf>
    <xf numFmtId="0" fontId="152" fillId="0" borderId="0" xfId="0" applyFont="1" applyAlignment="1">
      <alignment vertical="center"/>
    </xf>
    <xf numFmtId="0" fontId="152" fillId="7" borderId="0" xfId="0" applyFont="1" applyFill="1" applyAlignment="1">
      <alignment vertical="center"/>
    </xf>
    <xf numFmtId="0" fontId="152" fillId="0" borderId="0" xfId="0" applyFont="1" applyAlignment="1">
      <alignment vertical="center" wrapText="1"/>
    </xf>
    <xf numFmtId="170" fontId="153" fillId="0" borderId="1" xfId="0" applyNumberFormat="1" applyFont="1" applyBorder="1" applyAlignment="1">
      <alignment horizontal="right" vertical="center"/>
    </xf>
    <xf numFmtId="0" fontId="154" fillId="0" borderId="0" xfId="0" applyFont="1" applyAlignment="1">
      <alignment vertical="center"/>
    </xf>
    <xf numFmtId="170" fontId="140" fillId="0" borderId="1" xfId="0" applyNumberFormat="1" applyFont="1" applyBorder="1" applyAlignment="1">
      <alignment vertical="center"/>
    </xf>
    <xf numFmtId="0" fontId="145" fillId="4" borderId="2" xfId="0" applyFont="1" applyFill="1" applyBorder="1" applyAlignment="1">
      <alignment vertical="center"/>
    </xf>
    <xf numFmtId="0" fontId="145" fillId="4" borderId="3" xfId="0" applyFont="1" applyFill="1" applyBorder="1" applyAlignment="1">
      <alignment horizontal="center" vertical="center"/>
    </xf>
    <xf numFmtId="0" fontId="145" fillId="4" borderId="3" xfId="0" applyFont="1" applyFill="1" applyBorder="1" applyAlignment="1">
      <alignment vertical="center"/>
    </xf>
    <xf numFmtId="0" fontId="145" fillId="4" borderId="4" xfId="0" applyFont="1" applyFill="1" applyBorder="1" applyAlignment="1">
      <alignment vertical="center"/>
    </xf>
    <xf numFmtId="170" fontId="135" fillId="0" borderId="1" xfId="0" applyNumberFormat="1" applyFont="1" applyBorder="1" applyAlignment="1">
      <alignment horizontal="right" vertical="center"/>
    </xf>
    <xf numFmtId="3" fontId="86" fillId="0" borderId="1" xfId="0" applyNumberFormat="1" applyFont="1" applyBorder="1" applyAlignment="1">
      <alignment horizontal="center" vertical="center" wrapText="1"/>
    </xf>
    <xf numFmtId="170" fontId="143" fillId="0" borderId="9" xfId="0" applyNumberFormat="1" applyFont="1" applyBorder="1" applyAlignment="1">
      <alignment horizontal="right" vertical="center"/>
    </xf>
    <xf numFmtId="0" fontId="135" fillId="0" borderId="1" xfId="0" applyFont="1" applyBorder="1" applyAlignment="1">
      <alignment vertical="center" wrapText="1"/>
    </xf>
    <xf numFmtId="0" fontId="87" fillId="7" borderId="0" xfId="0" applyFont="1" applyFill="1" applyAlignment="1">
      <alignment horizontal="center" vertical="center"/>
    </xf>
    <xf numFmtId="170" fontId="87" fillId="7" borderId="0" xfId="0" applyNumberFormat="1" applyFont="1" applyFill="1" applyAlignment="1">
      <alignment horizontal="right" vertical="center"/>
    </xf>
    <xf numFmtId="170" fontId="146" fillId="7" borderId="0" xfId="0" applyNumberFormat="1" applyFont="1" applyFill="1" applyAlignment="1">
      <alignment vertical="center"/>
    </xf>
    <xf numFmtId="0" fontId="140" fillId="7" borderId="0" xfId="0" applyFont="1" applyFill="1" applyAlignment="1">
      <alignment vertical="center"/>
    </xf>
    <xf numFmtId="0" fontId="82" fillId="0" borderId="1" xfId="0" applyFont="1" applyBorder="1" applyAlignment="1">
      <alignment horizontal="center" vertical="center"/>
    </xf>
    <xf numFmtId="3" fontId="82" fillId="0" borderId="1" xfId="0" applyNumberFormat="1" applyFont="1" applyBorder="1" applyAlignment="1">
      <alignment horizontal="center" vertical="center"/>
    </xf>
    <xf numFmtId="170" fontId="82" fillId="0" borderId="1" xfId="0" applyNumberFormat="1" applyFont="1" applyBorder="1" applyAlignment="1">
      <alignment horizontal="right" vertical="center"/>
    </xf>
    <xf numFmtId="0" fontId="82" fillId="0" borderId="1" xfId="0" applyFont="1" applyBorder="1" applyAlignment="1">
      <alignment horizontal="left" vertical="center" wrapText="1"/>
    </xf>
    <xf numFmtId="0" fontId="155" fillId="0" borderId="0" xfId="0" applyFont="1" applyAlignment="1">
      <alignment vertical="center"/>
    </xf>
    <xf numFmtId="170" fontId="156" fillId="0" borderId="0" xfId="0" applyNumberFormat="1" applyFont="1" applyAlignment="1">
      <alignment vertical="center"/>
    </xf>
    <xf numFmtId="3" fontId="135" fillId="0" borderId="1" xfId="0" applyNumberFormat="1" applyFont="1" applyBorder="1" applyAlignment="1">
      <alignment horizontal="center" vertical="center"/>
    </xf>
    <xf numFmtId="0" fontId="157" fillId="0" borderId="0" xfId="0" applyFont="1" applyAlignment="1">
      <alignment vertical="center"/>
    </xf>
    <xf numFmtId="0" fontId="135" fillId="0" borderId="1" xfId="0" applyFont="1" applyBorder="1" applyAlignment="1">
      <alignment horizontal="center" vertical="center"/>
    </xf>
    <xf numFmtId="0" fontId="158" fillId="0" borderId="0" xfId="0" applyFont="1" applyAlignment="1">
      <alignment vertical="center"/>
    </xf>
    <xf numFmtId="0" fontId="155" fillId="0" borderId="0" xfId="0" applyFont="1" applyAlignment="1">
      <alignment vertical="center" wrapText="1"/>
    </xf>
    <xf numFmtId="0" fontId="82" fillId="0" borderId="0" xfId="0" applyFont="1" applyAlignment="1">
      <alignment vertical="center" wrapText="1"/>
    </xf>
    <xf numFmtId="0" fontId="159" fillId="0" borderId="1" xfId="0" applyFont="1" applyBorder="1" applyAlignment="1">
      <alignment vertical="center"/>
    </xf>
    <xf numFmtId="0" fontId="82" fillId="0" borderId="1" xfId="0" applyFont="1" applyBorder="1"/>
    <xf numFmtId="0" fontId="82" fillId="0" borderId="1" xfId="0" applyFont="1" applyBorder="1" applyAlignment="1">
      <alignment horizontal="left"/>
    </xf>
    <xf numFmtId="172" fontId="87" fillId="16" borderId="1" xfId="0" applyNumberFormat="1" applyFont="1" applyFill="1" applyBorder="1"/>
    <xf numFmtId="0" fontId="88" fillId="0" borderId="1" xfId="0" applyFont="1" applyBorder="1"/>
    <xf numFmtId="0" fontId="0" fillId="16" borderId="0" xfId="0" applyFill="1"/>
    <xf numFmtId="1" fontId="0" fillId="0" borderId="0" xfId="0" applyNumberFormat="1"/>
    <xf numFmtId="0" fontId="145" fillId="0" borderId="1" xfId="0" applyFont="1" applyBorder="1"/>
    <xf numFmtId="0" fontId="160" fillId="0" borderId="1" xfId="0" applyFont="1" applyBorder="1" applyAlignment="1">
      <alignment wrapText="1"/>
    </xf>
    <xf numFmtId="3" fontId="161" fillId="0" borderId="1" xfId="0" applyNumberFormat="1" applyFont="1" applyBorder="1"/>
    <xf numFmtId="0" fontId="160" fillId="0" borderId="6" xfId="0" applyFont="1" applyBorder="1" applyAlignment="1">
      <alignment wrapText="1"/>
    </xf>
    <xf numFmtId="0" fontId="145" fillId="16" borderId="15" xfId="0" applyFont="1" applyFill="1" applyBorder="1"/>
    <xf numFmtId="9" fontId="0" fillId="16" borderId="0" xfId="0" applyNumberFormat="1" applyFill="1"/>
    <xf numFmtId="0" fontId="160" fillId="0" borderId="0" xfId="0" applyFont="1" applyAlignment="1">
      <alignment wrapText="1"/>
    </xf>
    <xf numFmtId="3" fontId="161" fillId="0" borderId="0" xfId="0" applyNumberFormat="1" applyFont="1"/>
    <xf numFmtId="3" fontId="145" fillId="0" borderId="0" xfId="0" applyNumberFormat="1" applyFont="1"/>
    <xf numFmtId="174" fontId="0" fillId="0" borderId="0" xfId="0" applyNumberFormat="1"/>
    <xf numFmtId="0" fontId="162" fillId="0" borderId="1" xfId="0" applyFont="1" applyBorder="1" applyAlignment="1">
      <alignment horizontal="left" wrapText="1"/>
    </xf>
    <xf numFmtId="3" fontId="142" fillId="0" borderId="1" xfId="0" applyNumberFormat="1" applyFont="1" applyBorder="1"/>
    <xf numFmtId="3" fontId="163" fillId="0" borderId="1" xfId="0" applyNumberFormat="1" applyFont="1" applyBorder="1"/>
    <xf numFmtId="3" fontId="164" fillId="0" borderId="1" xfId="0" applyNumberFormat="1" applyFont="1" applyBorder="1"/>
    <xf numFmtId="0" fontId="162" fillId="0" borderId="1" xfId="0" applyFont="1" applyBorder="1" applyAlignment="1">
      <alignment horizontal="left"/>
    </xf>
    <xf numFmtId="0" fontId="162" fillId="0" borderId="6" xfId="0" applyFont="1" applyBorder="1" applyAlignment="1">
      <alignment horizontal="left" wrapText="1"/>
    </xf>
    <xf numFmtId="3" fontId="142" fillId="0" borderId="4" xfId="0" applyNumberFormat="1" applyFont="1" applyBorder="1"/>
    <xf numFmtId="3" fontId="163" fillId="0" borderId="4" xfId="0" applyNumberFormat="1" applyFont="1" applyBorder="1"/>
    <xf numFmtId="0" fontId="165" fillId="0" borderId="0" xfId="0" applyFont="1" applyAlignment="1">
      <alignment horizontal="left" wrapText="1"/>
    </xf>
    <xf numFmtId="3" fontId="166" fillId="0" borderId="0" xfId="0" applyNumberFormat="1" applyFont="1"/>
    <xf numFmtId="0" fontId="162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42" fillId="0" borderId="1" xfId="0" applyFont="1" applyBorder="1" applyAlignment="1">
      <alignment horizontal="left" wrapText="1" indent="2"/>
    </xf>
    <xf numFmtId="3" fontId="10" fillId="0" borderId="1" xfId="0" applyNumberFormat="1" applyFont="1" applyBorder="1"/>
    <xf numFmtId="3" fontId="24" fillId="0" borderId="1" xfId="0" applyNumberFormat="1" applyFont="1" applyBorder="1"/>
    <xf numFmtId="3" fontId="28" fillId="0" borderId="1" xfId="0" applyNumberFormat="1" applyFont="1" applyBorder="1"/>
    <xf numFmtId="0" fontId="166" fillId="0" borderId="11" xfId="0" applyFont="1" applyBorder="1" applyAlignment="1">
      <alignment horizontal="left" wrapText="1" indent="2"/>
    </xf>
    <xf numFmtId="0" fontId="142" fillId="0" borderId="0" xfId="0" applyFont="1" applyAlignment="1">
      <alignment horizontal="left" wrapText="1" indent="2"/>
    </xf>
    <xf numFmtId="0" fontId="145" fillId="30" borderId="2" xfId="0" applyFont="1" applyFill="1" applyBorder="1" applyAlignment="1">
      <alignment vertical="center"/>
    </xf>
    <xf numFmtId="0" fontId="145" fillId="30" borderId="3" xfId="0" applyFont="1" applyFill="1" applyBorder="1" applyAlignment="1">
      <alignment horizontal="center" vertical="center"/>
    </xf>
    <xf numFmtId="0" fontId="145" fillId="30" borderId="3" xfId="0" applyFont="1" applyFill="1" applyBorder="1" applyAlignment="1">
      <alignment vertical="center"/>
    </xf>
    <xf numFmtId="0" fontId="145" fillId="30" borderId="4" xfId="0" applyFont="1" applyFill="1" applyBorder="1" applyAlignment="1">
      <alignment vertical="center"/>
    </xf>
    <xf numFmtId="2" fontId="82" fillId="0" borderId="1" xfId="0" applyNumberFormat="1" applyFont="1" applyBorder="1" applyAlignment="1">
      <alignment horizontal="right"/>
    </xf>
    <xf numFmtId="1" fontId="140" fillId="0" borderId="1" xfId="0" applyNumberFormat="1" applyFont="1" applyBorder="1" applyAlignment="1">
      <alignment vertical="center"/>
    </xf>
    <xf numFmtId="0" fontId="158" fillId="0" borderId="0" xfId="0" applyFont="1" applyAlignment="1">
      <alignment vertical="center" wrapText="1"/>
    </xf>
    <xf numFmtId="0" fontId="156" fillId="0" borderId="0" xfId="0" applyFont="1" applyAlignment="1">
      <alignment vertical="center"/>
    </xf>
    <xf numFmtId="0" fontId="156" fillId="0" borderId="0" xfId="0" applyFont="1" applyAlignment="1">
      <alignment vertical="center" wrapText="1"/>
    </xf>
    <xf numFmtId="1" fontId="156" fillId="0" borderId="0" xfId="0" applyNumberFormat="1" applyFont="1" applyAlignment="1">
      <alignment vertical="center" wrapText="1"/>
    </xf>
    <xf numFmtId="0" fontId="163" fillId="0" borderId="0" xfId="0" applyFont="1" applyAlignment="1">
      <alignment vertical="center"/>
    </xf>
    <xf numFmtId="2" fontId="158" fillId="0" borderId="0" xfId="0" applyNumberFormat="1" applyFont="1" applyAlignment="1">
      <alignment vertical="center"/>
    </xf>
    <xf numFmtId="1" fontId="158" fillId="0" borderId="1" xfId="0" applyNumberFormat="1" applyFont="1" applyBorder="1" applyAlignment="1">
      <alignment vertical="center"/>
    </xf>
    <xf numFmtId="168" fontId="86" fillId="0" borderId="1" xfId="0" applyNumberFormat="1" applyFont="1" applyBorder="1" applyAlignment="1">
      <alignment horizontal="center" vertical="center"/>
    </xf>
    <xf numFmtId="3" fontId="140" fillId="0" borderId="0" xfId="0" applyNumberFormat="1" applyFont="1" applyAlignment="1">
      <alignment vertical="center" wrapText="1"/>
    </xf>
    <xf numFmtId="1" fontId="158" fillId="0" borderId="0" xfId="0" applyNumberFormat="1" applyFont="1" applyAlignment="1">
      <alignment vertical="center" wrapText="1"/>
    </xf>
    <xf numFmtId="1" fontId="140" fillId="0" borderId="0" xfId="0" applyNumberFormat="1" applyFont="1" applyAlignment="1">
      <alignment vertical="center"/>
    </xf>
    <xf numFmtId="2" fontId="82" fillId="0" borderId="0" xfId="0" applyNumberFormat="1" applyFont="1" applyAlignment="1">
      <alignment horizontal="right"/>
    </xf>
    <xf numFmtId="1" fontId="158" fillId="0" borderId="0" xfId="0" applyNumberFormat="1" applyFont="1" applyAlignment="1">
      <alignment vertical="center"/>
    </xf>
    <xf numFmtId="0" fontId="167" fillId="0" borderId="0" xfId="0" applyFont="1" applyAlignment="1">
      <alignment vertical="center"/>
    </xf>
    <xf numFmtId="0" fontId="86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143" fillId="0" borderId="9" xfId="0" applyFont="1" applyBorder="1" applyAlignment="1">
      <alignment horizontal="center" vertical="center"/>
    </xf>
    <xf numFmtId="0" fontId="86" fillId="0" borderId="6" xfId="0" applyFont="1" applyBorder="1" applyAlignment="1">
      <alignment horizontal="center"/>
    </xf>
    <xf numFmtId="0" fontId="158" fillId="0" borderId="0" xfId="0" applyFont="1" applyAlignment="1">
      <alignment horizontal="right" vertical="center"/>
    </xf>
    <xf numFmtId="3" fontId="140" fillId="0" borderId="1" xfId="0" applyNumberFormat="1" applyFont="1" applyBorder="1" applyAlignment="1">
      <alignment vertical="center"/>
    </xf>
    <xf numFmtId="1" fontId="156" fillId="0" borderId="1" xfId="0" applyNumberFormat="1" applyFont="1" applyBorder="1" applyAlignment="1">
      <alignment vertical="center"/>
    </xf>
    <xf numFmtId="3" fontId="159" fillId="0" borderId="0" xfId="0" applyNumberFormat="1" applyFont="1"/>
    <xf numFmtId="3" fontId="0" fillId="0" borderId="2" xfId="0" applyNumberFormat="1" applyBorder="1"/>
    <xf numFmtId="3" fontId="24" fillId="0" borderId="2" xfId="0" applyNumberFormat="1" applyFont="1" applyBorder="1"/>
    <xf numFmtId="3" fontId="28" fillId="0" borderId="2" xfId="0" applyNumberFormat="1" applyFont="1" applyBorder="1"/>
    <xf numFmtId="0" fontId="140" fillId="0" borderId="0" xfId="0" applyFont="1" applyAlignment="1">
      <alignment horizontal="left" vertical="center"/>
    </xf>
    <xf numFmtId="0" fontId="158" fillId="0" borderId="0" xfId="0" applyFont="1" applyAlignment="1">
      <alignment horizontal="left" vertical="center"/>
    </xf>
    <xf numFmtId="0" fontId="156" fillId="0" borderId="0" xfId="0" applyFont="1" applyAlignment="1">
      <alignment horizontal="left" vertical="center"/>
    </xf>
    <xf numFmtId="0" fontId="148" fillId="0" borderId="0" xfId="0" applyFont="1" applyAlignment="1">
      <alignment vertical="center" wrapText="1"/>
    </xf>
    <xf numFmtId="170" fontId="140" fillId="0" borderId="0" xfId="0" applyNumberFormat="1" applyFont="1" applyAlignment="1">
      <alignment horizontal="right" vertical="center"/>
    </xf>
    <xf numFmtId="0" fontId="168" fillId="0" borderId="0" xfId="0" applyFont="1" applyAlignment="1">
      <alignment vertical="center"/>
    </xf>
    <xf numFmtId="3" fontId="153" fillId="0" borderId="1" xfId="0" applyNumberFormat="1" applyFont="1" applyBorder="1" applyAlignment="1">
      <alignment horizontal="center" vertical="center"/>
    </xf>
    <xf numFmtId="0" fontId="147" fillId="0" borderId="0" xfId="0" applyFont="1" applyAlignment="1">
      <alignment vertical="center"/>
    </xf>
    <xf numFmtId="170" fontId="158" fillId="0" borderId="0" xfId="0" applyNumberFormat="1" applyFont="1" applyAlignment="1">
      <alignment vertical="center"/>
    </xf>
    <xf numFmtId="0" fontId="139" fillId="0" borderId="0" xfId="0" applyFont="1" applyAlignment="1">
      <alignment vertical="center" wrapText="1"/>
    </xf>
    <xf numFmtId="0" fontId="142" fillId="16" borderId="0" xfId="0" applyFont="1" applyFill="1" applyAlignment="1">
      <alignment vertical="center"/>
    </xf>
    <xf numFmtId="9" fontId="142" fillId="16" borderId="0" xfId="1" applyFont="1" applyFill="1" applyBorder="1" applyAlignment="1">
      <alignment vertical="center"/>
    </xf>
    <xf numFmtId="9" fontId="138" fillId="0" borderId="0" xfId="0" applyNumberFormat="1" applyFont="1" applyAlignment="1">
      <alignment vertical="center"/>
    </xf>
    <xf numFmtId="170" fontId="17" fillId="0" borderId="1" xfId="0" applyNumberFormat="1" applyFont="1" applyBorder="1"/>
    <xf numFmtId="0" fontId="170" fillId="0" borderId="1" xfId="0" applyFont="1" applyBorder="1" applyAlignment="1">
      <alignment vertical="center" wrapText="1"/>
    </xf>
    <xf numFmtId="0" fontId="88" fillId="0" borderId="1" xfId="0" applyFont="1" applyBorder="1" applyAlignment="1">
      <alignment vertical="center" wrapText="1"/>
    </xf>
    <xf numFmtId="0" fontId="171" fillId="5" borderId="1" xfId="0" applyFont="1" applyFill="1" applyBorder="1" applyAlignment="1">
      <alignment wrapText="1"/>
    </xf>
    <xf numFmtId="170" fontId="8" fillId="2" borderId="1" xfId="0" applyNumberFormat="1" applyFont="1" applyFill="1" applyBorder="1"/>
    <xf numFmtId="170" fontId="12" fillId="2" borderId="1" xfId="0" applyNumberFormat="1" applyFont="1" applyFill="1" applyBorder="1"/>
    <xf numFmtId="0" fontId="172" fillId="0" borderId="0" xfId="0" applyFont="1"/>
    <xf numFmtId="9" fontId="172" fillId="30" borderId="0" xfId="0" applyNumberFormat="1" applyFont="1" applyFill="1"/>
    <xf numFmtId="170" fontId="171" fillId="0" borderId="0" xfId="0" applyNumberFormat="1" applyFont="1" applyAlignment="1">
      <alignment wrapText="1"/>
    </xf>
    <xf numFmtId="170" fontId="23" fillId="31" borderId="1" xfId="0" applyNumberFormat="1" applyFont="1" applyFill="1" applyBorder="1"/>
    <xf numFmtId="170" fontId="72" fillId="31" borderId="1" xfId="0" applyNumberFormat="1" applyFont="1" applyFill="1" applyBorder="1"/>
    <xf numFmtId="0" fontId="173" fillId="31" borderId="1" xfId="0" applyFont="1" applyFill="1" applyBorder="1" applyAlignment="1">
      <alignment wrapText="1"/>
    </xf>
    <xf numFmtId="2" fontId="0" fillId="0" borderId="0" xfId="1" applyNumberFormat="1" applyFont="1"/>
    <xf numFmtId="3" fontId="134" fillId="0" borderId="0" xfId="0" applyNumberFormat="1" applyFont="1"/>
    <xf numFmtId="168" fontId="24" fillId="0" borderId="1" xfId="0" applyNumberFormat="1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174" fillId="0" borderId="1" xfId="1" applyNumberFormat="1" applyFont="1" applyBorder="1" applyAlignment="1">
      <alignment horizontal="center" vertical="center" wrapText="1"/>
    </xf>
    <xf numFmtId="168" fontId="175" fillId="0" borderId="1" xfId="0" applyNumberFormat="1" applyFont="1" applyBorder="1" applyAlignment="1">
      <alignment horizontal="center" vertical="center" wrapText="1"/>
    </xf>
    <xf numFmtId="171" fontId="87" fillId="0" borderId="0" xfId="0" applyNumberFormat="1" applyFont="1" applyAlignment="1">
      <alignment wrapText="1"/>
    </xf>
    <xf numFmtId="171" fontId="82" fillId="0" borderId="0" xfId="0" applyNumberFormat="1" applyFont="1"/>
    <xf numFmtId="171" fontId="87" fillId="0" borderId="0" xfId="0" applyNumberFormat="1" applyFont="1"/>
    <xf numFmtId="172" fontId="88" fillId="0" borderId="1" xfId="0" applyNumberFormat="1" applyFont="1" applyBorder="1"/>
    <xf numFmtId="171" fontId="88" fillId="0" borderId="1" xfId="0" applyNumberFormat="1" applyFont="1" applyBorder="1"/>
    <xf numFmtId="9" fontId="82" fillId="0" borderId="1" xfId="1" applyFont="1" applyBorder="1"/>
    <xf numFmtId="9" fontId="88" fillId="0" borderId="1" xfId="1" applyFont="1" applyBorder="1"/>
    <xf numFmtId="3" fontId="0" fillId="15" borderId="0" xfId="0" applyNumberFormat="1" applyFill="1"/>
    <xf numFmtId="0" fontId="0" fillId="15" borderId="0" xfId="0" applyFill="1"/>
    <xf numFmtId="3" fontId="73" fillId="0" borderId="0" xfId="0" applyNumberFormat="1" applyFont="1"/>
    <xf numFmtId="3" fontId="0" fillId="13" borderId="0" xfId="0" applyNumberFormat="1" applyFill="1"/>
    <xf numFmtId="0" fontId="0" fillId="13" borderId="0" xfId="0" applyFill="1"/>
    <xf numFmtId="3" fontId="176" fillId="0" borderId="0" xfId="0" applyNumberFormat="1" applyFont="1" applyAlignment="1">
      <alignment horizontal="center" vertical="center"/>
    </xf>
    <xf numFmtId="2" fontId="172" fillId="0" borderId="0" xfId="0" applyNumberFormat="1" applyFont="1"/>
    <xf numFmtId="3" fontId="10" fillId="0" borderId="0" xfId="0" applyNumberFormat="1" applyFont="1"/>
    <xf numFmtId="0" fontId="67" fillId="2" borderId="0" xfId="0" applyFont="1" applyFill="1"/>
    <xf numFmtId="3" fontId="10" fillId="2" borderId="0" xfId="0" applyNumberFormat="1" applyFont="1" applyFill="1"/>
    <xf numFmtId="3" fontId="67" fillId="2" borderId="0" xfId="0" applyNumberFormat="1" applyFont="1" applyFill="1"/>
    <xf numFmtId="2" fontId="177" fillId="2" borderId="1" xfId="0" applyNumberFormat="1" applyFont="1" applyFill="1" applyBorder="1"/>
    <xf numFmtId="9" fontId="177" fillId="2" borderId="1" xfId="1" applyFont="1" applyFill="1" applyBorder="1"/>
    <xf numFmtId="3" fontId="10" fillId="2" borderId="1" xfId="0" applyNumberFormat="1" applyFont="1" applyFill="1" applyBorder="1"/>
    <xf numFmtId="0" fontId="1" fillId="15" borderId="1" xfId="0" applyFont="1" applyFill="1" applyBorder="1" applyAlignment="1">
      <alignment wrapText="1"/>
    </xf>
    <xf numFmtId="3" fontId="169" fillId="0" borderId="1" xfId="0" applyNumberFormat="1" applyFont="1" applyBorder="1"/>
    <xf numFmtId="0" fontId="169" fillId="0" borderId="0" xfId="0" applyFont="1"/>
    <xf numFmtId="0" fontId="28" fillId="0" borderId="0" xfId="0" applyFont="1"/>
    <xf numFmtId="1" fontId="10" fillId="0" borderId="0" xfId="0" applyNumberFormat="1" applyFont="1"/>
    <xf numFmtId="1" fontId="28" fillId="0" borderId="0" xfId="0" applyNumberFormat="1" applyFont="1"/>
    <xf numFmtId="1" fontId="67" fillId="15" borderId="0" xfId="0" applyNumberFormat="1" applyFont="1" applyFill="1"/>
    <xf numFmtId="1" fontId="178" fillId="15" borderId="0" xfId="0" applyNumberFormat="1" applyFont="1" applyFill="1"/>
    <xf numFmtId="3" fontId="1" fillId="0" borderId="0" xfId="0" applyNumberFormat="1" applyFont="1" applyAlignment="1">
      <alignment wrapText="1"/>
    </xf>
    <xf numFmtId="3" fontId="67" fillId="0" borderId="0" xfId="0" applyNumberFormat="1" applyFont="1" applyAlignment="1">
      <alignment wrapText="1"/>
    </xf>
    <xf numFmtId="3" fontId="177" fillId="0" borderId="0" xfId="0" applyNumberFormat="1" applyFont="1"/>
    <xf numFmtId="0" fontId="10" fillId="15" borderId="0" xfId="0" applyFont="1" applyFill="1" applyAlignment="1">
      <alignment horizontal="right"/>
    </xf>
    <xf numFmtId="0" fontId="177" fillId="15" borderId="0" xfId="0" applyFont="1" applyFill="1" applyAlignment="1">
      <alignment horizontal="right"/>
    </xf>
    <xf numFmtId="10" fontId="177" fillId="15" borderId="0" xfId="1" applyNumberFormat="1" applyFont="1" applyFill="1"/>
    <xf numFmtId="3" fontId="10" fillId="15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67" fillId="15" borderId="0" xfId="0" applyFont="1" applyFill="1"/>
    <xf numFmtId="0" fontId="67" fillId="0" borderId="0" xfId="0" applyFont="1"/>
    <xf numFmtId="3" fontId="67" fillId="0" borderId="0" xfId="0" applyNumberFormat="1" applyFont="1"/>
    <xf numFmtId="0" fontId="134" fillId="0" borderId="0" xfId="0" applyFont="1"/>
    <xf numFmtId="10" fontId="134" fillId="2" borderId="0" xfId="1" applyNumberFormat="1" applyFont="1" applyFill="1"/>
    <xf numFmtId="10" fontId="67" fillId="0" borderId="0" xfId="1" applyNumberFormat="1" applyFont="1"/>
    <xf numFmtId="10" fontId="179" fillId="0" borderId="0" xfId="1" applyNumberFormat="1" applyFont="1"/>
    <xf numFmtId="0" fontId="54" fillId="2" borderId="1" xfId="0" applyFont="1" applyFill="1" applyBorder="1" applyProtection="1">
      <protection hidden="1"/>
    </xf>
    <xf numFmtId="3" fontId="19" fillId="2" borderId="1" xfId="0" applyNumberFormat="1" applyFont="1" applyFill="1" applyBorder="1"/>
    <xf numFmtId="4" fontId="10" fillId="2" borderId="1" xfId="0" applyNumberFormat="1" applyFont="1" applyFill="1" applyBorder="1"/>
    <xf numFmtId="9" fontId="10" fillId="2" borderId="1" xfId="1" applyFont="1" applyFill="1" applyBorder="1"/>
    <xf numFmtId="3" fontId="33" fillId="0" borderId="1" xfId="0" applyNumberFormat="1" applyFont="1" applyBorder="1" applyProtection="1">
      <protection hidden="1"/>
    </xf>
    <xf numFmtId="3" fontId="5" fillId="0" borderId="0" xfId="0" applyNumberFormat="1" applyFont="1" applyAlignment="1">
      <alignment horizontal="right"/>
    </xf>
    <xf numFmtId="169" fontId="57" fillId="30" borderId="0" xfId="1" applyNumberFormat="1" applyFont="1" applyFill="1" applyBorder="1"/>
    <xf numFmtId="0" fontId="23" fillId="14" borderId="1" xfId="0" applyFont="1" applyFill="1" applyBorder="1"/>
    <xf numFmtId="0" fontId="23" fillId="14" borderId="1" xfId="0" applyFont="1" applyFill="1" applyBorder="1" applyAlignment="1">
      <alignment horizontal="right"/>
    </xf>
    <xf numFmtId="0" fontId="23" fillId="8" borderId="1" xfId="0" applyFont="1" applyFill="1" applyBorder="1"/>
    <xf numFmtId="0" fontId="72" fillId="0" borderId="0" xfId="0" applyFont="1"/>
    <xf numFmtId="170" fontId="23" fillId="0" borderId="1" xfId="0" applyNumberFormat="1" applyFont="1" applyBorder="1"/>
    <xf numFmtId="170" fontId="183" fillId="0" borderId="0" xfId="0" applyNumberFormat="1" applyFont="1"/>
    <xf numFmtId="170" fontId="23" fillId="0" borderId="0" xfId="0" applyNumberFormat="1" applyFont="1"/>
    <xf numFmtId="170" fontId="183" fillId="30" borderId="1" xfId="0" applyNumberFormat="1" applyFont="1" applyFill="1" applyBorder="1"/>
    <xf numFmtId="170" fontId="22" fillId="30" borderId="1" xfId="0" applyNumberFormat="1" applyFont="1" applyFill="1" applyBorder="1"/>
    <xf numFmtId="170" fontId="23" fillId="30" borderId="1" xfId="0" applyNumberFormat="1" applyFont="1" applyFill="1" applyBorder="1"/>
    <xf numFmtId="2" fontId="57" fillId="30" borderId="0" xfId="1" applyNumberFormat="1" applyFont="1" applyFill="1" applyBorder="1"/>
    <xf numFmtId="0" fontId="87" fillId="0" borderId="0" xfId="0" applyFont="1" applyAlignment="1">
      <alignment horizontal="center" vertical="center"/>
    </xf>
    <xf numFmtId="170" fontId="185" fillId="0" borderId="0" xfId="0" applyNumberFormat="1" applyFont="1" applyAlignment="1">
      <alignment horizontal="center" vertical="center"/>
    </xf>
    <xf numFmtId="170" fontId="186" fillId="0" borderId="0" xfId="0" applyNumberFormat="1" applyFont="1" applyAlignment="1">
      <alignment horizontal="center" vertical="center"/>
    </xf>
    <xf numFmtId="0" fontId="87" fillId="3" borderId="2" xfId="0" applyFont="1" applyFill="1" applyBorder="1" applyAlignment="1">
      <alignment vertical="center"/>
    </xf>
    <xf numFmtId="170" fontId="145" fillId="4" borderId="7" xfId="0" applyNumberFormat="1" applyFont="1" applyFill="1" applyBorder="1" applyAlignment="1">
      <alignment vertical="center"/>
    </xf>
    <xf numFmtId="170" fontId="145" fillId="30" borderId="3" xfId="0" applyNumberFormat="1" applyFont="1" applyFill="1" applyBorder="1" applyAlignment="1">
      <alignment vertical="center"/>
    </xf>
    <xf numFmtId="170" fontId="86" fillId="0" borderId="2" xfId="0" applyNumberFormat="1" applyFont="1" applyBorder="1" applyAlignment="1">
      <alignment vertical="center"/>
    </xf>
    <xf numFmtId="170" fontId="153" fillId="0" borderId="2" xfId="0" applyNumberFormat="1" applyFont="1" applyBorder="1" applyAlignment="1">
      <alignment vertical="center"/>
    </xf>
    <xf numFmtId="170" fontId="145" fillId="4" borderId="3" xfId="0" applyNumberFormat="1" applyFont="1" applyFill="1" applyBorder="1" applyAlignment="1">
      <alignment vertical="center"/>
    </xf>
    <xf numFmtId="170" fontId="88" fillId="0" borderId="2" xfId="0" applyNumberFormat="1" applyFont="1" applyBorder="1" applyAlignment="1">
      <alignment vertical="center"/>
    </xf>
    <xf numFmtId="0" fontId="139" fillId="0" borderId="4" xfId="0" applyFont="1" applyBorder="1" applyAlignment="1">
      <alignment vertical="center"/>
    </xf>
    <xf numFmtId="170" fontId="185" fillId="4" borderId="0" xfId="0" applyNumberFormat="1" applyFont="1" applyFill="1" applyAlignment="1">
      <alignment horizontal="center" vertical="center"/>
    </xf>
    <xf numFmtId="0" fontId="186" fillId="0" borderId="0" xfId="0" applyFont="1" applyAlignment="1">
      <alignment horizontal="center" vertical="center"/>
    </xf>
    <xf numFmtId="0" fontId="184" fillId="3" borderId="0" xfId="0" applyFont="1" applyFill="1" applyAlignment="1">
      <alignment horizontal="center" vertical="center"/>
    </xf>
    <xf numFmtId="170" fontId="187" fillId="0" borderId="0" xfId="0" applyNumberFormat="1" applyFont="1" applyAlignment="1">
      <alignment horizontal="center" vertical="center"/>
    </xf>
    <xf numFmtId="170" fontId="184" fillId="6" borderId="0" xfId="0" applyNumberFormat="1" applyFont="1" applyFill="1" applyAlignment="1">
      <alignment horizontal="center" vertical="center"/>
    </xf>
    <xf numFmtId="170" fontId="184" fillId="7" borderId="0" xfId="0" applyNumberFormat="1" applyFont="1" applyFill="1" applyAlignment="1">
      <alignment horizontal="center" vertical="center"/>
    </xf>
    <xf numFmtId="0" fontId="87" fillId="3" borderId="0" xfId="0" applyFont="1" applyFill="1" applyAlignment="1">
      <alignment horizontal="center" vertical="center"/>
    </xf>
    <xf numFmtId="0" fontId="187" fillId="16" borderId="0" xfId="0" applyFont="1" applyFill="1" applyAlignment="1">
      <alignment horizontal="center" vertical="center"/>
    </xf>
    <xf numFmtId="170" fontId="184" fillId="0" borderId="0" xfId="0" applyNumberFormat="1" applyFont="1" applyAlignment="1">
      <alignment horizontal="center" vertical="center"/>
    </xf>
    <xf numFmtId="9" fontId="87" fillId="3" borderId="0" xfId="0" applyNumberFormat="1" applyFont="1" applyFill="1" applyAlignment="1">
      <alignment horizontal="center" vertical="center"/>
    </xf>
    <xf numFmtId="9" fontId="89" fillId="3" borderId="0" xfId="0" applyNumberFormat="1" applyFont="1" applyFill="1" applyAlignment="1">
      <alignment horizontal="center" vertical="center"/>
    </xf>
    <xf numFmtId="9" fontId="89" fillId="3" borderId="0" xfId="1" applyFont="1" applyFill="1" applyBorder="1" applyAlignment="1">
      <alignment horizontal="center" vertical="center"/>
    </xf>
    <xf numFmtId="10" fontId="89" fillId="3" borderId="0" xfId="0" applyNumberFormat="1" applyFont="1" applyFill="1" applyAlignment="1">
      <alignment horizontal="center" vertical="center"/>
    </xf>
    <xf numFmtId="0" fontId="188" fillId="8" borderId="1" xfId="0" applyFont="1" applyFill="1" applyBorder="1" applyAlignment="1">
      <alignment horizontal="center" vertical="center"/>
    </xf>
    <xf numFmtId="0" fontId="188" fillId="14" borderId="1" xfId="0" applyFont="1" applyFill="1" applyBorder="1" applyAlignment="1">
      <alignment horizontal="center" vertical="center"/>
    </xf>
    <xf numFmtId="170" fontId="154" fillId="0" borderId="1" xfId="0" applyNumberFormat="1" applyFont="1" applyBorder="1" applyAlignment="1">
      <alignment horizontal="right" vertical="center"/>
    </xf>
    <xf numFmtId="170" fontId="154" fillId="0" borderId="0" xfId="0" applyNumberFormat="1" applyFont="1" applyAlignment="1">
      <alignment vertical="center"/>
    </xf>
    <xf numFmtId="0" fontId="154" fillId="0" borderId="0" xfId="0" applyFont="1" applyAlignment="1">
      <alignment vertical="center" wrapText="1"/>
    </xf>
    <xf numFmtId="2" fontId="154" fillId="0" borderId="0" xfId="0" applyNumberFormat="1" applyFont="1" applyAlignment="1">
      <alignment vertical="center"/>
    </xf>
    <xf numFmtId="0" fontId="154" fillId="0" borderId="0" xfId="0" applyFont="1" applyAlignment="1">
      <alignment horizontal="right" vertical="center"/>
    </xf>
    <xf numFmtId="170" fontId="154" fillId="0" borderId="0" xfId="0" applyNumberFormat="1" applyFont="1" applyAlignment="1">
      <alignment horizontal="right" vertical="center"/>
    </xf>
    <xf numFmtId="170" fontId="189" fillId="0" borderId="0" xfId="0" applyNumberFormat="1" applyFont="1" applyAlignment="1">
      <alignment wrapText="1"/>
    </xf>
    <xf numFmtId="0" fontId="190" fillId="0" borderId="1" xfId="0" applyFont="1" applyBorder="1" applyAlignment="1">
      <alignment horizontal="left" vertical="center" wrapText="1"/>
    </xf>
    <xf numFmtId="170" fontId="8" fillId="2" borderId="1" xfId="0" applyNumberFormat="1" applyFont="1" applyFill="1" applyBorder="1" applyAlignment="1">
      <alignment horizontal="right"/>
    </xf>
    <xf numFmtId="170" fontId="2" fillId="2" borderId="1" xfId="0" applyNumberFormat="1" applyFont="1" applyFill="1" applyBorder="1" applyAlignment="1">
      <alignment horizontal="right"/>
    </xf>
    <xf numFmtId="170" fontId="16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1" applyFont="1"/>
    <xf numFmtId="0" fontId="197" fillId="0" borderId="0" xfId="0" applyFont="1" applyAlignment="1">
      <alignment horizontal="left" indent="1"/>
    </xf>
    <xf numFmtId="3" fontId="197" fillId="0" borderId="0" xfId="0" applyNumberFormat="1" applyFont="1"/>
    <xf numFmtId="3" fontId="0" fillId="16" borderId="0" xfId="0" applyNumberFormat="1" applyFill="1"/>
    <xf numFmtId="3" fontId="197" fillId="0" borderId="1" xfId="0" applyNumberFormat="1" applyFont="1" applyBorder="1"/>
    <xf numFmtId="3" fontId="197" fillId="2" borderId="0" xfId="0" applyNumberFormat="1" applyFont="1" applyFill="1"/>
    <xf numFmtId="3" fontId="197" fillId="2" borderId="1" xfId="0" applyNumberFormat="1" applyFont="1" applyFill="1" applyBorder="1"/>
    <xf numFmtId="9" fontId="177" fillId="0" borderId="0" xfId="1" applyFont="1" applyAlignment="1">
      <alignment horizontal="center"/>
    </xf>
    <xf numFmtId="0" fontId="198" fillId="0" borderId="1" xfId="0" applyFont="1" applyBorder="1" applyAlignment="1">
      <alignment horizontal="left" vertical="center" wrapText="1"/>
    </xf>
    <xf numFmtId="0" fontId="153" fillId="0" borderId="1" xfId="0" applyFont="1" applyBorder="1" applyAlignment="1">
      <alignment vertical="center" wrapText="1"/>
    </xf>
    <xf numFmtId="170" fontId="92" fillId="0" borderId="1" xfId="0" applyNumberFormat="1" applyFont="1" applyBorder="1" applyAlignment="1">
      <alignment horizontal="right" vertical="center"/>
    </xf>
    <xf numFmtId="0" fontId="209" fillId="0" borderId="18" xfId="0" applyFont="1" applyBorder="1" applyAlignment="1">
      <alignment horizontal="center" vertical="center"/>
    </xf>
    <xf numFmtId="0" fontId="209" fillId="0" borderId="19" xfId="0" applyFont="1" applyBorder="1" applyAlignment="1">
      <alignment horizontal="center" vertical="center"/>
    </xf>
    <xf numFmtId="172" fontId="210" fillId="0" borderId="0" xfId="0" applyNumberFormat="1" applyFont="1"/>
    <xf numFmtId="1" fontId="209" fillId="0" borderId="18" xfId="0" applyNumberFormat="1" applyFont="1" applyBorder="1" applyAlignment="1">
      <alignment horizontal="center" vertical="center"/>
    </xf>
    <xf numFmtId="1" fontId="211" fillId="0" borderId="18" xfId="0" applyNumberFormat="1" applyFont="1" applyBorder="1" applyAlignment="1">
      <alignment horizontal="center" vertical="center"/>
    </xf>
    <xf numFmtId="171" fontId="0" fillId="0" borderId="0" xfId="0" applyNumberFormat="1" applyAlignment="1">
      <alignment horizontal="right"/>
    </xf>
    <xf numFmtId="0" fontId="212" fillId="0" borderId="0" xfId="0" applyFont="1"/>
    <xf numFmtId="0" fontId="67" fillId="0" borderId="1" xfId="0" applyFont="1" applyBorder="1" applyAlignment="1">
      <alignment horizontal="left" vertical="center" wrapText="1"/>
    </xf>
    <xf numFmtId="0" fontId="213" fillId="0" borderId="0" xfId="0" applyFont="1"/>
    <xf numFmtId="0" fontId="82" fillId="0" borderId="0" xfId="0" applyFont="1" applyAlignment="1">
      <alignment horizontal="center"/>
    </xf>
    <xf numFmtId="0" fontId="214" fillId="0" borderId="0" xfId="0" applyFont="1"/>
    <xf numFmtId="0" fontId="81" fillId="0" borderId="0" xfId="0" applyFont="1"/>
    <xf numFmtId="0" fontId="85" fillId="5" borderId="1" xfId="0" applyFont="1" applyFill="1" applyBorder="1" applyAlignment="1">
      <alignment horizontal="center" vertical="center" wrapText="1"/>
    </xf>
    <xf numFmtId="0" fontId="107" fillId="5" borderId="1" xfId="0" applyFont="1" applyFill="1" applyBorder="1" applyAlignment="1">
      <alignment horizontal="center" vertical="center" wrapText="1"/>
    </xf>
    <xf numFmtId="0" fontId="85" fillId="3" borderId="1" xfId="0" applyFont="1" applyFill="1" applyBorder="1" applyAlignment="1">
      <alignment horizontal="center" vertical="center" wrapText="1"/>
    </xf>
    <xf numFmtId="0" fontId="215" fillId="15" borderId="0" xfId="0" applyFont="1" applyFill="1" applyAlignment="1">
      <alignment horizontal="right"/>
    </xf>
    <xf numFmtId="0" fontId="82" fillId="5" borderId="1" xfId="0" applyFont="1" applyFill="1" applyBorder="1"/>
    <xf numFmtId="170" fontId="82" fillId="0" borderId="1" xfId="0" applyNumberFormat="1" applyFont="1" applyBorder="1"/>
    <xf numFmtId="170" fontId="87" fillId="3" borderId="1" xfId="0" applyNumberFormat="1" applyFont="1" applyFill="1" applyBorder="1"/>
    <xf numFmtId="170" fontId="87" fillId="4" borderId="1" xfId="0" applyNumberFormat="1" applyFont="1" applyFill="1" applyBorder="1"/>
    <xf numFmtId="9" fontId="215" fillId="15" borderId="0" xfId="1" applyFont="1" applyFill="1" applyAlignment="1">
      <alignment horizontal="right"/>
    </xf>
    <xf numFmtId="170" fontId="84" fillId="0" borderId="1" xfId="0" applyNumberFormat="1" applyFont="1" applyBorder="1" applyAlignment="1">
      <alignment horizontal="left" vertical="center" wrapText="1"/>
    </xf>
    <xf numFmtId="170" fontId="84" fillId="0" borderId="1" xfId="0" applyNumberFormat="1" applyFont="1" applyBorder="1" applyAlignment="1">
      <alignment horizontal="center" vertical="center" wrapText="1"/>
    </xf>
    <xf numFmtId="0" fontId="86" fillId="5" borderId="1" xfId="0" applyFont="1" applyFill="1" applyBorder="1"/>
    <xf numFmtId="170" fontId="83" fillId="5" borderId="1" xfId="0" applyNumberFormat="1" applyFont="1" applyFill="1" applyBorder="1" applyAlignment="1">
      <alignment horizontal="left" vertical="center" wrapText="1"/>
    </xf>
    <xf numFmtId="170" fontId="83" fillId="5" borderId="1" xfId="0" applyNumberFormat="1" applyFont="1" applyFill="1" applyBorder="1" applyAlignment="1">
      <alignment horizontal="center" vertical="center" wrapText="1"/>
    </xf>
    <xf numFmtId="170" fontId="83" fillId="3" borderId="1" xfId="0" applyNumberFormat="1" applyFont="1" applyFill="1" applyBorder="1" applyAlignment="1">
      <alignment horizontal="left" vertical="center" wrapText="1"/>
    </xf>
    <xf numFmtId="170" fontId="83" fillId="3" borderId="1" xfId="0" applyNumberFormat="1" applyFont="1" applyFill="1" applyBorder="1" applyAlignment="1">
      <alignment horizontal="center" vertical="center" wrapText="1"/>
    </xf>
    <xf numFmtId="0" fontId="87" fillId="4" borderId="1" xfId="0" applyFont="1" applyFill="1" applyBorder="1"/>
    <xf numFmtId="0" fontId="214" fillId="0" borderId="0" xfId="0" applyFont="1" applyAlignment="1">
      <alignment horizontal="center"/>
    </xf>
    <xf numFmtId="0" fontId="87" fillId="13" borderId="1" xfId="0" applyFont="1" applyFill="1" applyBorder="1"/>
    <xf numFmtId="0" fontId="87" fillId="14" borderId="1" xfId="0" applyFont="1" applyFill="1" applyBorder="1"/>
    <xf numFmtId="170" fontId="87" fillId="0" borderId="1" xfId="0" applyNumberFormat="1" applyFont="1" applyBorder="1"/>
    <xf numFmtId="170" fontId="87" fillId="20" borderId="1" xfId="0" applyNumberFormat="1" applyFont="1" applyFill="1" applyBorder="1"/>
    <xf numFmtId="170" fontId="83" fillId="4" borderId="1" xfId="0" applyNumberFormat="1" applyFont="1" applyFill="1" applyBorder="1" applyAlignment="1">
      <alignment horizontal="left" vertical="center" wrapText="1"/>
    </xf>
    <xf numFmtId="170" fontId="83" fillId="4" borderId="1" xfId="0" applyNumberFormat="1" applyFont="1" applyFill="1" applyBorder="1" applyAlignment="1">
      <alignment horizontal="center" vertical="center" wrapText="1"/>
    </xf>
    <xf numFmtId="164" fontId="82" fillId="0" borderId="0" xfId="0" applyNumberFormat="1" applyFont="1" applyAlignment="1">
      <alignment horizontal="center"/>
    </xf>
    <xf numFmtId="0" fontId="87" fillId="20" borderId="1" xfId="0" applyFont="1" applyFill="1" applyBorder="1"/>
    <xf numFmtId="0" fontId="87" fillId="14" borderId="1" xfId="0" applyFont="1" applyFill="1" applyBorder="1" applyAlignment="1">
      <alignment wrapText="1"/>
    </xf>
    <xf numFmtId="170" fontId="87" fillId="14" borderId="1" xfId="0" applyNumberFormat="1" applyFont="1" applyFill="1" applyBorder="1"/>
    <xf numFmtId="0" fontId="216" fillId="0" borderId="18" xfId="0" applyFont="1" applyBorder="1" applyAlignment="1">
      <alignment horizontal="center" vertical="center"/>
    </xf>
    <xf numFmtId="0" fontId="216" fillId="0" borderId="19" xfId="0" applyFont="1" applyBorder="1" applyAlignment="1">
      <alignment horizontal="center" vertical="center"/>
    </xf>
    <xf numFmtId="175" fontId="0" fillId="0" borderId="0" xfId="0" applyNumberFormat="1"/>
    <xf numFmtId="3" fontId="73" fillId="0" borderId="1" xfId="0" applyNumberFormat="1" applyFont="1" applyBorder="1"/>
    <xf numFmtId="3" fontId="73" fillId="10" borderId="1" xfId="0" applyNumberFormat="1" applyFont="1" applyFill="1" applyBorder="1"/>
    <xf numFmtId="0" fontId="135" fillId="0" borderId="1" xfId="0" applyFont="1" applyBorder="1" applyAlignment="1">
      <alignment wrapText="1"/>
    </xf>
    <xf numFmtId="3" fontId="9" fillId="22" borderId="0" xfId="0" applyNumberFormat="1" applyFont="1" applyFill="1" applyAlignment="1">
      <alignment horizontal="right" vertical="center" wrapText="1"/>
    </xf>
    <xf numFmtId="3" fontId="9" fillId="7" borderId="0" xfId="0" applyNumberFormat="1" applyFont="1" applyFill="1" applyAlignment="1">
      <alignment horizontal="right" vertical="center" wrapText="1"/>
    </xf>
    <xf numFmtId="170" fontId="86" fillId="6" borderId="0" xfId="0" applyNumberFormat="1" applyFont="1" applyFill="1" applyAlignment="1">
      <alignment horizontal="center" vertical="center"/>
    </xf>
    <xf numFmtId="170" fontId="86" fillId="7" borderId="0" xfId="0" applyNumberFormat="1" applyFont="1" applyFill="1" applyAlignment="1">
      <alignment horizontal="center" vertical="center"/>
    </xf>
    <xf numFmtId="170" fontId="86" fillId="6" borderId="0" xfId="0" applyNumberFormat="1" applyFont="1" applyFill="1" applyAlignment="1">
      <alignment vertical="center"/>
    </xf>
    <xf numFmtId="170" fontId="86" fillId="7" borderId="0" xfId="0" applyNumberFormat="1" applyFont="1" applyFill="1" applyAlignment="1">
      <alignment vertical="center"/>
    </xf>
    <xf numFmtId="0" fontId="145" fillId="0" borderId="16" xfId="0" applyFont="1" applyBorder="1" applyAlignment="1">
      <alignment vertical="center"/>
    </xf>
    <xf numFmtId="0" fontId="145" fillId="0" borderId="7" xfId="0" applyFont="1" applyBorder="1" applyAlignment="1">
      <alignment horizontal="center" vertical="center"/>
    </xf>
    <xf numFmtId="0" fontId="145" fillId="0" borderId="7" xfId="0" applyFont="1" applyBorder="1" applyAlignment="1">
      <alignment vertical="center"/>
    </xf>
    <xf numFmtId="0" fontId="145" fillId="0" borderId="17" xfId="0" applyFont="1" applyBorder="1" applyAlignment="1">
      <alignment vertical="center"/>
    </xf>
    <xf numFmtId="0" fontId="145" fillId="0" borderId="2" xfId="0" applyFont="1" applyBorder="1" applyAlignment="1">
      <alignment vertical="center"/>
    </xf>
    <xf numFmtId="0" fontId="145" fillId="0" borderId="3" xfId="0" applyFont="1" applyBorder="1" applyAlignment="1">
      <alignment horizontal="center" vertical="center"/>
    </xf>
    <xf numFmtId="0" fontId="145" fillId="0" borderId="3" xfId="0" applyFont="1" applyBorder="1" applyAlignment="1">
      <alignment vertical="center"/>
    </xf>
    <xf numFmtId="0" fontId="145" fillId="0" borderId="4" xfId="0" applyFont="1" applyBorder="1" applyAlignment="1">
      <alignment vertical="center"/>
    </xf>
    <xf numFmtId="170" fontId="218" fillId="0" borderId="16" xfId="0" applyNumberFormat="1" applyFont="1" applyBorder="1" applyAlignment="1">
      <alignment vertical="center"/>
    </xf>
    <xf numFmtId="170" fontId="218" fillId="0" borderId="7" xfId="0" applyNumberFormat="1" applyFont="1" applyBorder="1" applyAlignment="1">
      <alignment horizontal="center" vertical="center"/>
    </xf>
    <xf numFmtId="0" fontId="143" fillId="0" borderId="3" xfId="0" applyFont="1" applyBorder="1" applyAlignment="1">
      <alignment vertical="center"/>
    </xf>
    <xf numFmtId="0" fontId="144" fillId="0" borderId="3" xfId="0" applyFont="1" applyBorder="1" applyAlignment="1">
      <alignment horizontal="center" vertical="center"/>
    </xf>
    <xf numFmtId="3" fontId="144" fillId="0" borderId="3" xfId="0" applyNumberFormat="1" applyFont="1" applyBorder="1" applyAlignment="1">
      <alignment horizontal="center" vertical="center"/>
    </xf>
    <xf numFmtId="170" fontId="144" fillId="0" borderId="3" xfId="0" applyNumberFormat="1" applyFont="1" applyBorder="1" applyAlignment="1">
      <alignment horizontal="right" vertical="center"/>
    </xf>
    <xf numFmtId="0" fontId="144" fillId="0" borderId="3" xfId="0" applyFont="1" applyBorder="1" applyAlignment="1">
      <alignment vertical="center"/>
    </xf>
    <xf numFmtId="170" fontId="217" fillId="0" borderId="7" xfId="0" applyNumberFormat="1" applyFont="1" applyBorder="1" applyAlignment="1">
      <alignment horizontal="center" vertical="center"/>
    </xf>
    <xf numFmtId="170" fontId="218" fillId="0" borderId="2" xfId="0" applyNumberFormat="1" applyFont="1" applyBorder="1" applyAlignment="1">
      <alignment vertical="center"/>
    </xf>
    <xf numFmtId="170" fontId="218" fillId="0" borderId="3" xfId="0" applyNumberFormat="1" applyFont="1" applyBorder="1" applyAlignment="1">
      <alignment horizontal="center" vertical="center"/>
    </xf>
    <xf numFmtId="3" fontId="41" fillId="0" borderId="1" xfId="0" applyNumberFormat="1" applyFont="1" applyBorder="1" applyProtection="1">
      <protection hidden="1"/>
    </xf>
    <xf numFmtId="2" fontId="41" fillId="0" borderId="1" xfId="0" applyNumberFormat="1" applyFont="1" applyBorder="1" applyProtection="1">
      <protection hidden="1"/>
    </xf>
    <xf numFmtId="169" fontId="219" fillId="0" borderId="1" xfId="1" applyNumberFormat="1" applyFont="1" applyFill="1" applyBorder="1" applyProtection="1">
      <protection hidden="1"/>
    </xf>
    <xf numFmtId="10" fontId="219" fillId="0" borderId="1" xfId="1" applyNumberFormat="1" applyFont="1" applyFill="1" applyBorder="1" applyProtection="1">
      <protection hidden="1"/>
    </xf>
    <xf numFmtId="4" fontId="34" fillId="14" borderId="1" xfId="1" applyNumberFormat="1" applyFont="1" applyFill="1" applyBorder="1" applyProtection="1">
      <protection hidden="1"/>
    </xf>
    <xf numFmtId="0" fontId="1" fillId="14" borderId="1" xfId="0" applyFont="1" applyFill="1" applyBorder="1" applyAlignment="1">
      <alignment wrapText="1"/>
    </xf>
    <xf numFmtId="0" fontId="22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36" fillId="0" borderId="0" xfId="0" applyFont="1"/>
    <xf numFmtId="3" fontId="67" fillId="15" borderId="0" xfId="0" applyNumberFormat="1" applyFont="1" applyFill="1"/>
    <xf numFmtId="170" fontId="217" fillId="0" borderId="3" xfId="0" applyNumberFormat="1" applyFont="1" applyBorder="1" applyAlignment="1">
      <alignment vertical="center"/>
    </xf>
    <xf numFmtId="170" fontId="135" fillId="0" borderId="1" xfId="0" applyNumberFormat="1" applyFont="1" applyBorder="1" applyAlignment="1">
      <alignment vertical="center"/>
    </xf>
    <xf numFmtId="170" fontId="135" fillId="0" borderId="2" xfId="0" applyNumberFormat="1" applyFont="1" applyBorder="1" applyAlignment="1">
      <alignment vertical="center"/>
    </xf>
    <xf numFmtId="170" fontId="135" fillId="0" borderId="0" xfId="0" applyNumberFormat="1" applyFont="1" applyAlignment="1">
      <alignment horizontal="center" vertical="center"/>
    </xf>
    <xf numFmtId="0" fontId="221" fillId="0" borderId="0" xfId="0" applyFont="1" applyAlignment="1">
      <alignment vertical="center"/>
    </xf>
    <xf numFmtId="9" fontId="157" fillId="0" borderId="0" xfId="0" applyNumberFormat="1" applyFont="1" applyAlignment="1">
      <alignment vertical="center"/>
    </xf>
    <xf numFmtId="0" fontId="222" fillId="0" borderId="1" xfId="0" applyFont="1" applyBorder="1" applyAlignment="1">
      <alignment vertical="center"/>
    </xf>
    <xf numFmtId="0" fontId="88" fillId="0" borderId="1" xfId="0" applyFont="1" applyBorder="1" applyAlignment="1">
      <alignment horizontal="center" vertical="center"/>
    </xf>
    <xf numFmtId="3" fontId="88" fillId="0" borderId="1" xfId="0" applyNumberFormat="1" applyFont="1" applyBorder="1" applyAlignment="1">
      <alignment horizontal="center" vertical="center"/>
    </xf>
    <xf numFmtId="170" fontId="88" fillId="0" borderId="1" xfId="0" applyNumberFormat="1" applyFont="1" applyBorder="1" applyAlignment="1">
      <alignment horizontal="right" vertical="center"/>
    </xf>
    <xf numFmtId="170" fontId="88" fillId="0" borderId="1" xfId="0" applyNumberFormat="1" applyFont="1" applyBorder="1" applyAlignment="1">
      <alignment vertical="center"/>
    </xf>
    <xf numFmtId="170" fontId="88" fillId="0" borderId="0" xfId="0" applyNumberFormat="1" applyFont="1" applyAlignment="1">
      <alignment horizontal="center" vertical="center"/>
    </xf>
    <xf numFmtId="0" fontId="157" fillId="0" borderId="1" xfId="0" applyFont="1" applyBorder="1" applyAlignment="1">
      <alignment vertical="center" wrapText="1"/>
    </xf>
    <xf numFmtId="170" fontId="157" fillId="0" borderId="1" xfId="0" applyNumberFormat="1" applyFont="1" applyBorder="1" applyAlignment="1">
      <alignment horizontal="right" vertical="center"/>
    </xf>
    <xf numFmtId="0" fontId="33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7" fillId="17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35" fillId="14" borderId="1" xfId="0" applyFont="1" applyFill="1" applyBorder="1" applyAlignment="1" applyProtection="1">
      <alignment vertical="center"/>
      <protection hidden="1"/>
    </xf>
    <xf numFmtId="169" fontId="191" fillId="0" borderId="1" xfId="1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169" fontId="200" fillId="0" borderId="1" xfId="1" applyNumberFormat="1" applyFont="1" applyBorder="1" applyAlignment="1">
      <alignment vertical="center"/>
    </xf>
    <xf numFmtId="2" fontId="201" fillId="0" borderId="1" xfId="1" applyNumberFormat="1" applyFont="1" applyBorder="1" applyAlignment="1">
      <alignment vertical="center"/>
    </xf>
    <xf numFmtId="0" fontId="57" fillId="0" borderId="0" xfId="0" applyFont="1" applyAlignment="1">
      <alignment vertical="center"/>
    </xf>
    <xf numFmtId="1" fontId="191" fillId="0" borderId="1" xfId="0" applyNumberFormat="1" applyFont="1" applyBorder="1" applyAlignment="1">
      <alignment vertical="center"/>
    </xf>
    <xf numFmtId="1" fontId="192" fillId="0" borderId="1" xfId="0" applyNumberFormat="1" applyFont="1" applyBorder="1" applyAlignment="1">
      <alignment vertical="center"/>
    </xf>
    <xf numFmtId="0" fontId="195" fillId="0" borderId="1" xfId="0" applyFont="1" applyBorder="1" applyAlignment="1">
      <alignment vertical="center"/>
    </xf>
    <xf numFmtId="10" fontId="7" fillId="14" borderId="1" xfId="0" applyNumberFormat="1" applyFont="1" applyFill="1" applyBorder="1" applyAlignment="1" applyProtection="1">
      <alignment vertical="center"/>
      <protection hidden="1"/>
    </xf>
    <xf numFmtId="10" fontId="199" fillId="14" borderId="1" xfId="0" applyNumberFormat="1" applyFont="1" applyFill="1" applyBorder="1" applyAlignment="1" applyProtection="1">
      <alignment vertical="center"/>
      <protection hidden="1"/>
    </xf>
    <xf numFmtId="10" fontId="195" fillId="14" borderId="1" xfId="0" applyNumberFormat="1" applyFont="1" applyFill="1" applyBorder="1" applyAlignment="1" applyProtection="1">
      <alignment vertical="center"/>
      <protection hidden="1"/>
    </xf>
    <xf numFmtId="2" fontId="7" fillId="14" borderId="1" xfId="0" applyNumberFormat="1" applyFont="1" applyFill="1" applyBorder="1" applyAlignment="1" applyProtection="1">
      <alignment vertical="center"/>
      <protection hidden="1"/>
    </xf>
    <xf numFmtId="2" fontId="195" fillId="14" borderId="1" xfId="0" applyNumberFormat="1" applyFont="1" applyFill="1" applyBorder="1" applyAlignment="1" applyProtection="1">
      <alignment vertical="center"/>
      <protection hidden="1"/>
    </xf>
    <xf numFmtId="3" fontId="7" fillId="14" borderId="1" xfId="0" applyNumberFormat="1" applyFont="1" applyFill="1" applyBorder="1" applyAlignment="1" applyProtection="1">
      <alignment vertical="center"/>
      <protection hidden="1"/>
    </xf>
    <xf numFmtId="3" fontId="199" fillId="14" borderId="1" xfId="0" applyNumberFormat="1" applyFont="1" applyFill="1" applyBorder="1" applyAlignment="1" applyProtection="1">
      <alignment vertical="center"/>
      <protection hidden="1"/>
    </xf>
    <xf numFmtId="0" fontId="192" fillId="0" borderId="0" xfId="0" applyFont="1" applyAlignment="1" applyProtection="1">
      <alignment vertical="center"/>
      <protection hidden="1"/>
    </xf>
    <xf numFmtId="0" fontId="191" fillId="0" borderId="0" xfId="0" applyFont="1" applyAlignment="1" applyProtection="1">
      <alignment vertical="center"/>
      <protection hidden="1"/>
    </xf>
    <xf numFmtId="165" fontId="191" fillId="0" borderId="0" xfId="0" applyNumberFormat="1" applyFont="1" applyAlignment="1">
      <alignment vertical="center"/>
    </xf>
    <xf numFmtId="0" fontId="193" fillId="0" borderId="1" xfId="0" applyFont="1" applyBorder="1" applyAlignment="1">
      <alignment vertical="center"/>
    </xf>
    <xf numFmtId="2" fontId="194" fillId="14" borderId="1" xfId="0" applyNumberFormat="1" applyFont="1" applyFill="1" applyBorder="1" applyAlignment="1">
      <alignment vertical="center"/>
    </xf>
    <xf numFmtId="0" fontId="191" fillId="0" borderId="1" xfId="0" applyFont="1" applyBorder="1" applyAlignment="1">
      <alignment vertical="center"/>
    </xf>
    <xf numFmtId="0" fontId="191" fillId="0" borderId="0" xfId="0" applyFont="1" applyAlignment="1">
      <alignment vertical="center"/>
    </xf>
    <xf numFmtId="0" fontId="205" fillId="0" borderId="0" xfId="0" applyFont="1" applyAlignment="1">
      <alignment vertical="center"/>
    </xf>
    <xf numFmtId="169" fontId="206" fillId="0" borderId="0" xfId="1" applyNumberFormat="1" applyFont="1" applyAlignment="1">
      <alignment vertical="center"/>
    </xf>
    <xf numFmtId="169" fontId="191" fillId="0" borderId="0" xfId="1" applyNumberFormat="1" applyFont="1" applyAlignment="1">
      <alignment vertical="center"/>
    </xf>
    <xf numFmtId="169" fontId="26" fillId="0" borderId="0" xfId="1" applyNumberFormat="1" applyFont="1" applyAlignment="1">
      <alignment vertical="center"/>
    </xf>
    <xf numFmtId="0" fontId="206" fillId="0" borderId="1" xfId="0" applyFont="1" applyBorder="1" applyAlignment="1">
      <alignment vertical="center"/>
    </xf>
    <xf numFmtId="2" fontId="205" fillId="30" borderId="1" xfId="0" applyNumberFormat="1" applyFont="1" applyFill="1" applyBorder="1" applyAlignment="1">
      <alignment vertical="center"/>
    </xf>
    <xf numFmtId="1" fontId="195" fillId="14" borderId="1" xfId="0" applyNumberFormat="1" applyFont="1" applyFill="1" applyBorder="1" applyAlignment="1">
      <alignment vertical="center"/>
    </xf>
    <xf numFmtId="0" fontId="6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07" fillId="0" borderId="0" xfId="0" applyFont="1" applyAlignment="1" applyProtection="1">
      <alignment vertical="center"/>
      <protection hidden="1"/>
    </xf>
    <xf numFmtId="10" fontId="194" fillId="14" borderId="1" xfId="1" applyNumberFormat="1" applyFont="1" applyFill="1" applyBorder="1" applyAlignment="1">
      <alignment vertical="center"/>
    </xf>
    <xf numFmtId="0" fontId="208" fillId="30" borderId="0" xfId="0" applyFont="1" applyFill="1" applyAlignment="1" applyProtection="1">
      <alignment vertical="center"/>
      <protection hidden="1"/>
    </xf>
    <xf numFmtId="0" fontId="193" fillId="14" borderId="1" xfId="0" applyFont="1" applyFill="1" applyBorder="1" applyAlignment="1" applyProtection="1">
      <alignment vertical="center"/>
      <protection hidden="1"/>
    </xf>
    <xf numFmtId="9" fontId="193" fillId="14" borderId="1" xfId="0" applyNumberFormat="1" applyFont="1" applyFill="1" applyBorder="1" applyAlignment="1" applyProtection="1">
      <alignment vertical="center"/>
      <protection hidden="1"/>
    </xf>
    <xf numFmtId="10" fontId="193" fillId="14" borderId="1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50" fillId="18" borderId="0" xfId="0" applyFont="1" applyFill="1" applyAlignment="1" applyProtection="1">
      <alignment vertical="center"/>
      <protection hidden="1"/>
    </xf>
    <xf numFmtId="0" fontId="33" fillId="18" borderId="0" xfId="0" applyFont="1" applyFill="1" applyAlignment="1" applyProtection="1">
      <alignment vertical="center"/>
      <protection hidden="1"/>
    </xf>
    <xf numFmtId="3" fontId="33" fillId="18" borderId="0" xfId="0" applyNumberFormat="1" applyFont="1" applyFill="1" applyAlignment="1" applyProtection="1">
      <alignment horizontal="center" vertical="center"/>
      <protection hidden="1"/>
    </xf>
    <xf numFmtId="3" fontId="33" fillId="18" borderId="0" xfId="0" applyNumberFormat="1" applyFont="1" applyFill="1" applyAlignment="1" applyProtection="1">
      <alignment vertical="center"/>
      <protection hidden="1"/>
    </xf>
    <xf numFmtId="9" fontId="33" fillId="18" borderId="0" xfId="1" applyFont="1" applyFill="1" applyAlignment="1" applyProtection="1">
      <alignment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1" fillId="0" borderId="0" xfId="0" applyFont="1" applyAlignment="1" applyProtection="1">
      <alignment vertical="center"/>
      <protection hidden="1"/>
    </xf>
    <xf numFmtId="9" fontId="41" fillId="0" borderId="0" xfId="1" applyFont="1" applyAlignment="1" applyProtection="1">
      <alignment horizontal="center" vertical="center"/>
      <protection hidden="1"/>
    </xf>
    <xf numFmtId="3" fontId="40" fillId="20" borderId="0" xfId="0" applyNumberFormat="1" applyFont="1" applyFill="1" applyAlignment="1" applyProtection="1">
      <alignment vertical="center" wrapText="1"/>
      <protection hidden="1"/>
    </xf>
    <xf numFmtId="3" fontId="41" fillId="0" borderId="0" xfId="0" applyNumberFormat="1" applyFont="1" applyAlignment="1" applyProtection="1">
      <alignment vertical="center"/>
      <protection hidden="1"/>
    </xf>
    <xf numFmtId="0" fontId="41" fillId="0" borderId="7" xfId="0" applyFont="1" applyBorder="1" applyAlignment="1" applyProtection="1">
      <alignment horizontal="left" vertical="center"/>
      <protection hidden="1"/>
    </xf>
    <xf numFmtId="0" fontId="41" fillId="0" borderId="7" xfId="0" applyFont="1" applyBorder="1" applyAlignment="1" applyProtection="1">
      <alignment vertical="center"/>
      <protection hidden="1"/>
    </xf>
    <xf numFmtId="9" fontId="41" fillId="0" borderId="7" xfId="1" applyFont="1" applyBorder="1" applyAlignment="1" applyProtection="1">
      <alignment horizontal="center" vertical="center"/>
      <protection hidden="1"/>
    </xf>
    <xf numFmtId="3" fontId="40" fillId="20" borderId="7" xfId="0" applyNumberFormat="1" applyFont="1" applyFill="1" applyBorder="1" applyAlignment="1" applyProtection="1">
      <alignment vertical="center" wrapText="1"/>
      <protection hidden="1"/>
    </xf>
    <xf numFmtId="3" fontId="41" fillId="0" borderId="7" xfId="0" applyNumberFormat="1" applyFont="1" applyBorder="1" applyAlignment="1" applyProtection="1">
      <alignment vertical="center"/>
      <protection hidden="1"/>
    </xf>
    <xf numFmtId="0" fontId="196" fillId="0" borderId="0" xfId="0" applyFont="1" applyAlignment="1" applyProtection="1">
      <alignment horizontal="left" vertical="center"/>
      <protection hidden="1"/>
    </xf>
    <xf numFmtId="3" fontId="202" fillId="20" borderId="0" xfId="0" applyNumberFormat="1" applyFont="1" applyFill="1" applyAlignment="1" applyProtection="1">
      <alignment vertical="center" wrapText="1"/>
      <protection hidden="1"/>
    </xf>
    <xf numFmtId="3" fontId="202" fillId="0" borderId="0" xfId="0" applyNumberFormat="1" applyFont="1" applyAlignment="1" applyProtection="1">
      <alignment vertical="center"/>
      <protection hidden="1"/>
    </xf>
    <xf numFmtId="166" fontId="33" fillId="0" borderId="0" xfId="0" applyNumberFormat="1" applyFont="1" applyAlignment="1" applyProtection="1">
      <alignment vertical="center"/>
      <protection hidden="1"/>
    </xf>
    <xf numFmtId="3" fontId="32" fillId="0" borderId="0" xfId="0" applyNumberFormat="1" applyFont="1" applyAlignment="1" applyProtection="1">
      <alignment vertical="center" wrapText="1"/>
      <protection hidden="1"/>
    </xf>
    <xf numFmtId="0" fontId="66" fillId="0" borderId="0" xfId="0" applyFont="1" applyAlignment="1" applyProtection="1">
      <alignment vertical="center"/>
      <protection hidden="1"/>
    </xf>
    <xf numFmtId="0" fontId="32" fillId="0" borderId="7" xfId="0" applyFont="1" applyBorder="1" applyAlignment="1" applyProtection="1">
      <alignment vertical="center"/>
      <protection hidden="1"/>
    </xf>
    <xf numFmtId="0" fontId="33" fillId="0" borderId="7" xfId="0" applyFont="1" applyBorder="1" applyAlignment="1" applyProtection="1">
      <alignment vertical="center"/>
      <protection hidden="1"/>
    </xf>
    <xf numFmtId="166" fontId="33" fillId="0" borderId="7" xfId="0" applyNumberFormat="1" applyFont="1" applyBorder="1" applyAlignment="1" applyProtection="1">
      <alignment vertical="center"/>
      <protection hidden="1"/>
    </xf>
    <xf numFmtId="3" fontId="32" fillId="0" borderId="7" xfId="0" applyNumberFormat="1" applyFont="1" applyBorder="1" applyAlignment="1" applyProtection="1">
      <alignment vertical="center" wrapText="1"/>
      <protection hidden="1"/>
    </xf>
    <xf numFmtId="0" fontId="32" fillId="15" borderId="10" xfId="0" applyFont="1" applyFill="1" applyBorder="1" applyAlignment="1" applyProtection="1">
      <alignment vertical="center"/>
      <protection hidden="1"/>
    </xf>
    <xf numFmtId="0" fontId="35" fillId="15" borderId="10" xfId="0" applyFont="1" applyFill="1" applyBorder="1" applyAlignment="1" applyProtection="1">
      <alignment vertical="center"/>
      <protection hidden="1"/>
    </xf>
    <xf numFmtId="3" fontId="42" fillId="15" borderId="10" xfId="0" applyNumberFormat="1" applyFont="1" applyFill="1" applyBorder="1" applyAlignment="1" applyProtection="1">
      <alignment vertical="center"/>
      <protection hidden="1"/>
    </xf>
    <xf numFmtId="0" fontId="32" fillId="2" borderId="0" xfId="0" applyFont="1" applyFill="1" applyAlignment="1" applyProtection="1">
      <alignment vertical="center"/>
      <protection hidden="1"/>
    </xf>
    <xf numFmtId="0" fontId="50" fillId="2" borderId="0" xfId="0" applyFont="1" applyFill="1" applyAlignment="1" applyProtection="1">
      <alignment vertical="center"/>
      <protection hidden="1"/>
    </xf>
    <xf numFmtId="0" fontId="33" fillId="2" borderId="0" xfId="0" applyFont="1" applyFill="1" applyAlignment="1" applyProtection="1">
      <alignment vertical="center"/>
      <protection hidden="1"/>
    </xf>
    <xf numFmtId="3" fontId="33" fillId="2" borderId="0" xfId="0" applyNumberFormat="1" applyFont="1" applyFill="1" applyAlignment="1" applyProtection="1">
      <alignment horizontal="center" vertical="center"/>
      <protection hidden="1"/>
    </xf>
    <xf numFmtId="3" fontId="33" fillId="2" borderId="0" xfId="0" applyNumberFormat="1" applyFont="1" applyFill="1" applyAlignment="1" applyProtection="1">
      <alignment vertical="center"/>
      <protection hidden="1"/>
    </xf>
    <xf numFmtId="9" fontId="33" fillId="2" borderId="0" xfId="1" applyFont="1" applyFill="1" applyAlignment="1" applyProtection="1">
      <alignment vertical="center"/>
      <protection hidden="1"/>
    </xf>
    <xf numFmtId="0" fontId="40" fillId="0" borderId="0" xfId="0" applyFont="1" applyAlignment="1" applyProtection="1">
      <alignment horizontal="left" vertical="center"/>
      <protection hidden="1"/>
    </xf>
    <xf numFmtId="3" fontId="182" fillId="0" borderId="0" xfId="0" applyNumberFormat="1" applyFont="1" applyAlignment="1" applyProtection="1">
      <alignment vertical="center"/>
      <protection hidden="1"/>
    </xf>
    <xf numFmtId="3" fontId="40" fillId="0" borderId="0" xfId="0" applyNumberFormat="1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40" fillId="0" borderId="7" xfId="0" applyFont="1" applyBorder="1" applyAlignment="1" applyProtection="1">
      <alignment horizontal="left" vertical="center"/>
      <protection hidden="1"/>
    </xf>
    <xf numFmtId="3" fontId="182" fillId="0" borderId="7" xfId="0" applyNumberFormat="1" applyFont="1" applyBorder="1" applyAlignment="1" applyProtection="1">
      <alignment vertical="center"/>
      <protection hidden="1"/>
    </xf>
    <xf numFmtId="3" fontId="40" fillId="20" borderId="7" xfId="0" applyNumberFormat="1" applyFont="1" applyFill="1" applyBorder="1" applyAlignment="1" applyProtection="1">
      <alignment vertical="center"/>
      <protection hidden="1"/>
    </xf>
    <xf numFmtId="3" fontId="40" fillId="0" borderId="7" xfId="0" applyNumberFormat="1" applyFont="1" applyBorder="1" applyAlignment="1" applyProtection="1">
      <alignment vertical="center"/>
      <protection hidden="1"/>
    </xf>
    <xf numFmtId="3" fontId="40" fillId="20" borderId="8" xfId="0" applyNumberFormat="1" applyFont="1" applyFill="1" applyBorder="1" applyAlignment="1" applyProtection="1">
      <alignment vertical="center" wrapText="1"/>
      <protection hidden="1"/>
    </xf>
    <xf numFmtId="0" fontId="33" fillId="0" borderId="0" xfId="0" applyFont="1" applyAlignment="1" applyProtection="1">
      <alignment horizontal="left" vertical="center"/>
      <protection hidden="1"/>
    </xf>
    <xf numFmtId="3" fontId="33" fillId="0" borderId="0" xfId="0" applyNumberFormat="1" applyFont="1" applyAlignment="1" applyProtection="1">
      <alignment horizontal="right" vertical="center"/>
      <protection hidden="1"/>
    </xf>
    <xf numFmtId="3" fontId="45" fillId="17" borderId="0" xfId="0" applyNumberFormat="1" applyFont="1" applyFill="1" applyAlignment="1" applyProtection="1">
      <alignment horizontal="right" vertical="center"/>
      <protection hidden="1"/>
    </xf>
    <xf numFmtId="0" fontId="33" fillId="0" borderId="7" xfId="0" applyFont="1" applyBorder="1" applyAlignment="1" applyProtection="1">
      <alignment horizontal="left" vertical="center"/>
      <protection hidden="1"/>
    </xf>
    <xf numFmtId="3" fontId="33" fillId="0" borderId="7" xfId="0" applyNumberFormat="1" applyFont="1" applyBorder="1" applyAlignment="1" applyProtection="1">
      <alignment horizontal="right" vertical="center"/>
      <protection hidden="1"/>
    </xf>
    <xf numFmtId="3" fontId="45" fillId="17" borderId="7" xfId="0" applyNumberFormat="1" applyFont="1" applyFill="1" applyBorder="1" applyAlignment="1" applyProtection="1">
      <alignment horizontal="right" vertical="center"/>
      <protection hidden="1"/>
    </xf>
    <xf numFmtId="0" fontId="35" fillId="18" borderId="0" xfId="0" applyFont="1" applyFill="1" applyAlignment="1" applyProtection="1">
      <alignment vertical="center"/>
      <protection hidden="1"/>
    </xf>
    <xf numFmtId="3" fontId="40" fillId="20" borderId="0" xfId="0" applyNumberFormat="1" applyFont="1" applyFill="1" applyAlignment="1" applyProtection="1">
      <alignment vertical="center"/>
      <protection hidden="1"/>
    </xf>
    <xf numFmtId="0" fontId="32" fillId="18" borderId="0" xfId="0" applyFont="1" applyFill="1" applyAlignment="1" applyProtection="1">
      <alignment vertical="center"/>
      <protection hidden="1"/>
    </xf>
    <xf numFmtId="0" fontId="29" fillId="0" borderId="7" xfId="0" applyFont="1" applyBorder="1" applyAlignment="1" applyProtection="1">
      <alignment vertical="center"/>
      <protection hidden="1"/>
    </xf>
    <xf numFmtId="3" fontId="29" fillId="0" borderId="7" xfId="0" applyNumberFormat="1" applyFont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5" fillId="0" borderId="0" xfId="0" applyFont="1" applyAlignment="1" applyProtection="1">
      <alignment vertical="center"/>
      <protection hidden="1"/>
    </xf>
    <xf numFmtId="3" fontId="32" fillId="20" borderId="0" xfId="0" applyNumberFormat="1" applyFont="1" applyFill="1" applyAlignment="1" applyProtection="1">
      <alignment vertical="center"/>
      <protection hidden="1"/>
    </xf>
    <xf numFmtId="3" fontId="34" fillId="0" borderId="0" xfId="0" applyNumberFormat="1" applyFont="1" applyAlignment="1" applyProtection="1">
      <alignment vertical="center"/>
      <protection hidden="1"/>
    </xf>
    <xf numFmtId="0" fontId="35" fillId="0" borderId="7" xfId="0" applyFont="1" applyBorder="1" applyAlignment="1" applyProtection="1">
      <alignment vertical="center"/>
      <protection hidden="1"/>
    </xf>
    <xf numFmtId="3" fontId="32" fillId="20" borderId="7" xfId="0" applyNumberFormat="1" applyFont="1" applyFill="1" applyBorder="1" applyAlignment="1" applyProtection="1">
      <alignment vertical="center"/>
      <protection hidden="1"/>
    </xf>
    <xf numFmtId="3" fontId="34" fillId="0" borderId="7" xfId="0" applyNumberFormat="1" applyFont="1" applyBorder="1" applyAlignment="1" applyProtection="1">
      <alignment vertical="center"/>
      <protection hidden="1"/>
    </xf>
    <xf numFmtId="0" fontId="32" fillId="0" borderId="8" xfId="0" applyFont="1" applyBorder="1" applyAlignment="1" applyProtection="1">
      <alignment vertical="center"/>
      <protection hidden="1"/>
    </xf>
    <xf numFmtId="0" fontId="33" fillId="0" borderId="8" xfId="0" applyFont="1" applyBorder="1" applyAlignment="1" applyProtection="1">
      <alignment vertical="center"/>
      <protection hidden="1"/>
    </xf>
    <xf numFmtId="3" fontId="36" fillId="0" borderId="8" xfId="0" applyNumberFormat="1" applyFont="1" applyBorder="1" applyAlignment="1" applyProtection="1">
      <alignment vertical="center"/>
      <protection hidden="1"/>
    </xf>
    <xf numFmtId="3" fontId="36" fillId="0" borderId="7" xfId="0" applyNumberFormat="1" applyFont="1" applyBorder="1" applyAlignment="1" applyProtection="1">
      <alignment vertical="center"/>
      <protection hidden="1"/>
    </xf>
    <xf numFmtId="0" fontId="32" fillId="13" borderId="9" xfId="0" applyFont="1" applyFill="1" applyBorder="1" applyAlignment="1" applyProtection="1">
      <alignment vertical="center"/>
      <protection hidden="1"/>
    </xf>
    <xf numFmtId="0" fontId="40" fillId="13" borderId="9" xfId="0" applyFont="1" applyFill="1" applyBorder="1" applyAlignment="1" applyProtection="1">
      <alignment vertical="center"/>
      <protection hidden="1"/>
    </xf>
    <xf numFmtId="3" fontId="32" fillId="13" borderId="9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Alignment="1" applyProtection="1">
      <alignment vertical="center"/>
      <protection hidden="1"/>
    </xf>
    <xf numFmtId="3" fontId="49" fillId="0" borderId="0" xfId="0" applyNumberFormat="1" applyFont="1" applyAlignment="1" applyProtection="1">
      <alignment horizontal="right" vertical="center"/>
      <protection hidden="1"/>
    </xf>
    <xf numFmtId="0" fontId="33" fillId="14" borderId="1" xfId="0" applyFont="1" applyFill="1" applyBorder="1" applyAlignment="1" applyProtection="1">
      <alignment vertical="center"/>
      <protection hidden="1"/>
    </xf>
    <xf numFmtId="0" fontId="50" fillId="14" borderId="1" xfId="0" applyFont="1" applyFill="1" applyBorder="1" applyAlignment="1" applyProtection="1">
      <alignment horizontal="center" vertical="center"/>
      <protection hidden="1"/>
    </xf>
    <xf numFmtId="0" fontId="68" fillId="14" borderId="1" xfId="0" applyFont="1" applyFill="1" applyBorder="1" applyAlignment="1" applyProtection="1">
      <alignment horizontal="right" vertical="center"/>
      <protection hidden="1"/>
    </xf>
    <xf numFmtId="0" fontId="68" fillId="14" borderId="1" xfId="0" applyFont="1" applyFill="1" applyBorder="1" applyAlignment="1" applyProtection="1">
      <alignment vertical="center"/>
      <protection hidden="1"/>
    </xf>
    <xf numFmtId="0" fontId="50" fillId="14" borderId="1" xfId="0" applyFont="1" applyFill="1" applyBorder="1" applyAlignment="1" applyProtection="1">
      <alignment vertical="center"/>
      <protection hidden="1"/>
    </xf>
    <xf numFmtId="0" fontId="32" fillId="0" borderId="1" xfId="0" applyFont="1" applyBorder="1" applyAlignment="1" applyProtection="1">
      <alignment vertical="center"/>
      <protection hidden="1"/>
    </xf>
    <xf numFmtId="0" fontId="39" fillId="0" borderId="1" xfId="0" applyFont="1" applyBorder="1" applyAlignment="1" applyProtection="1">
      <alignment horizontal="center" vertical="center"/>
      <protection hidden="1"/>
    </xf>
    <xf numFmtId="3" fontId="69" fillId="0" borderId="1" xfId="0" applyNumberFormat="1" applyFont="1" applyBorder="1" applyAlignment="1" applyProtection="1">
      <alignment vertical="center" wrapText="1"/>
      <protection hidden="1"/>
    </xf>
    <xf numFmtId="3" fontId="48" fillId="0" borderId="1" xfId="0" applyNumberFormat="1" applyFont="1" applyBorder="1" applyAlignment="1" applyProtection="1">
      <alignment vertical="center" wrapText="1"/>
      <protection hidden="1"/>
    </xf>
    <xf numFmtId="0" fontId="40" fillId="0" borderId="1" xfId="0" applyFont="1" applyBorder="1" applyAlignment="1" applyProtection="1">
      <alignment horizontal="center" vertical="center"/>
      <protection hidden="1"/>
    </xf>
    <xf numFmtId="3" fontId="69" fillId="0" borderId="1" xfId="1" applyNumberFormat="1" applyFont="1" applyFill="1" applyBorder="1" applyAlignment="1" applyProtection="1">
      <alignment vertical="center"/>
      <protection hidden="1"/>
    </xf>
    <xf numFmtId="3" fontId="40" fillId="0" borderId="1" xfId="1" applyNumberFormat="1" applyFont="1" applyFill="1" applyBorder="1" applyAlignment="1" applyProtection="1">
      <alignment vertical="center"/>
      <protection hidden="1"/>
    </xf>
    <xf numFmtId="169" fontId="32" fillId="0" borderId="0" xfId="1" applyNumberFormat="1" applyFont="1" applyAlignment="1" applyProtection="1">
      <alignment vertical="center"/>
      <protection hidden="1"/>
    </xf>
    <xf numFmtId="0" fontId="47" fillId="0" borderId="1" xfId="0" applyFont="1" applyBorder="1" applyAlignment="1" applyProtection="1">
      <alignment vertical="center"/>
      <protection hidden="1"/>
    </xf>
    <xf numFmtId="0" fontId="47" fillId="0" borderId="1" xfId="0" applyFont="1" applyBorder="1" applyAlignment="1" applyProtection="1">
      <alignment horizontal="center" vertical="center"/>
      <protection hidden="1"/>
    </xf>
    <xf numFmtId="3" fontId="47" fillId="0" borderId="1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181" fillId="0" borderId="1" xfId="0" applyFont="1" applyBorder="1" applyAlignment="1" applyProtection="1">
      <alignment vertical="center"/>
      <protection hidden="1"/>
    </xf>
    <xf numFmtId="0" fontId="181" fillId="0" borderId="1" xfId="0" applyFont="1" applyBorder="1" applyAlignment="1" applyProtection="1">
      <alignment horizontal="center" vertical="center"/>
      <protection hidden="1"/>
    </xf>
    <xf numFmtId="9" fontId="181" fillId="0" borderId="1" xfId="1" applyFont="1" applyFill="1" applyBorder="1" applyAlignment="1" applyProtection="1">
      <alignment vertical="center"/>
      <protection hidden="1"/>
    </xf>
    <xf numFmtId="0" fontId="181" fillId="0" borderId="0" xfId="0" applyFont="1" applyAlignment="1" applyProtection="1">
      <alignment vertical="center"/>
      <protection hidden="1"/>
    </xf>
    <xf numFmtId="9" fontId="181" fillId="7" borderId="1" xfId="1" applyFont="1" applyFill="1" applyBorder="1" applyAlignment="1" applyProtection="1">
      <alignment vertical="center"/>
      <protection hidden="1"/>
    </xf>
    <xf numFmtId="0" fontId="32" fillId="5" borderId="1" xfId="0" applyFont="1" applyFill="1" applyBorder="1" applyAlignment="1" applyProtection="1">
      <alignment vertical="center"/>
      <protection hidden="1"/>
    </xf>
    <xf numFmtId="0" fontId="40" fillId="5" borderId="1" xfId="0" applyFont="1" applyFill="1" applyBorder="1" applyAlignment="1" applyProtection="1">
      <alignment horizontal="center" vertical="center"/>
      <protection hidden="1"/>
    </xf>
    <xf numFmtId="4" fontId="69" fillId="5" borderId="1" xfId="1" applyNumberFormat="1" applyFont="1" applyFill="1" applyBorder="1" applyAlignment="1" applyProtection="1">
      <alignment vertical="center"/>
      <protection hidden="1"/>
    </xf>
    <xf numFmtId="4" fontId="40" fillId="5" borderId="1" xfId="1" applyNumberFormat="1" applyFont="1" applyFill="1" applyBorder="1" applyAlignment="1" applyProtection="1">
      <alignment vertical="center"/>
      <protection hidden="1"/>
    </xf>
    <xf numFmtId="0" fontId="29" fillId="5" borderId="1" xfId="0" applyFont="1" applyFill="1" applyBorder="1" applyAlignment="1" applyProtection="1">
      <alignment vertical="center"/>
      <protection hidden="1"/>
    </xf>
    <xf numFmtId="0" fontId="180" fillId="5" borderId="1" xfId="0" applyFont="1" applyFill="1" applyBorder="1" applyAlignment="1" applyProtection="1">
      <alignment horizontal="center" vertical="center"/>
      <protection hidden="1"/>
    </xf>
    <xf numFmtId="4" fontId="181" fillId="5" borderId="1" xfId="1" applyNumberFormat="1" applyFont="1" applyFill="1" applyBorder="1" applyAlignment="1" applyProtection="1">
      <alignment vertical="center"/>
      <protection hidden="1"/>
    </xf>
    <xf numFmtId="0" fontId="180" fillId="0" borderId="0" xfId="0" applyFont="1" applyAlignment="1" applyProtection="1">
      <alignment vertical="center"/>
      <protection hidden="1"/>
    </xf>
    <xf numFmtId="0" fontId="32" fillId="20" borderId="1" xfId="0" applyFont="1" applyFill="1" applyBorder="1" applyAlignment="1" applyProtection="1">
      <alignment vertical="center"/>
      <protection hidden="1"/>
    </xf>
    <xf numFmtId="0" fontId="32" fillId="20" borderId="1" xfId="0" applyFont="1" applyFill="1" applyBorder="1" applyAlignment="1" applyProtection="1">
      <alignment horizontal="center" vertical="center"/>
      <protection hidden="1"/>
    </xf>
    <xf numFmtId="4" fontId="68" fillId="20" borderId="1" xfId="1" applyNumberFormat="1" applyFont="1" applyFill="1" applyBorder="1" applyAlignment="1" applyProtection="1">
      <alignment vertical="center"/>
      <protection hidden="1"/>
    </xf>
    <xf numFmtId="4" fontId="32" fillId="20" borderId="1" xfId="1" applyNumberFormat="1" applyFont="1" applyFill="1" applyBorder="1" applyAlignment="1" applyProtection="1">
      <alignment vertical="center"/>
      <protection hidden="1"/>
    </xf>
    <xf numFmtId="0" fontId="32" fillId="11" borderId="1" xfId="0" applyFont="1" applyFill="1" applyBorder="1" applyAlignment="1" applyProtection="1">
      <alignment vertical="center"/>
      <protection hidden="1"/>
    </xf>
    <xf numFmtId="0" fontId="40" fillId="11" borderId="1" xfId="0" applyFont="1" applyFill="1" applyBorder="1" applyAlignment="1" applyProtection="1">
      <alignment horizontal="center" vertical="center"/>
      <protection hidden="1"/>
    </xf>
    <xf numFmtId="4" fontId="68" fillId="11" borderId="1" xfId="1" applyNumberFormat="1" applyFont="1" applyFill="1" applyBorder="1" applyAlignment="1" applyProtection="1">
      <alignment vertical="center"/>
      <protection hidden="1"/>
    </xf>
    <xf numFmtId="4" fontId="32" fillId="11" borderId="1" xfId="1" applyNumberFormat="1" applyFont="1" applyFill="1" applyBorder="1" applyAlignment="1" applyProtection="1">
      <alignment vertical="center"/>
      <protection hidden="1"/>
    </xf>
    <xf numFmtId="169" fontId="69" fillId="0" borderId="1" xfId="1" applyNumberFormat="1" applyFont="1" applyBorder="1" applyAlignment="1" applyProtection="1">
      <alignment vertical="center"/>
      <protection hidden="1"/>
    </xf>
    <xf numFmtId="169" fontId="40" fillId="0" borderId="1" xfId="1" applyNumberFormat="1" applyFont="1" applyBorder="1" applyAlignment="1" applyProtection="1">
      <alignment vertical="center"/>
      <protection hidden="1"/>
    </xf>
    <xf numFmtId="3" fontId="69" fillId="0" borderId="1" xfId="1" applyNumberFormat="1" applyFont="1" applyBorder="1" applyAlignment="1" applyProtection="1">
      <alignment vertical="center"/>
      <protection hidden="1"/>
    </xf>
    <xf numFmtId="3" fontId="40" fillId="0" borderId="1" xfId="1" applyNumberFormat="1" applyFont="1" applyBorder="1" applyAlignment="1" applyProtection="1">
      <alignment vertical="center"/>
      <protection hidden="1"/>
    </xf>
    <xf numFmtId="2" fontId="69" fillId="0" borderId="1" xfId="0" applyNumberFormat="1" applyFont="1" applyBorder="1" applyAlignment="1" applyProtection="1">
      <alignment vertical="center"/>
      <protection hidden="1"/>
    </xf>
    <xf numFmtId="2" fontId="40" fillId="0" borderId="1" xfId="0" applyNumberFormat="1" applyFont="1" applyBorder="1" applyAlignment="1" applyProtection="1">
      <alignment vertical="center"/>
      <protection hidden="1"/>
    </xf>
    <xf numFmtId="0" fontId="32" fillId="14" borderId="1" xfId="0" applyFont="1" applyFill="1" applyBorder="1" applyAlignment="1" applyProtection="1">
      <alignment vertical="center"/>
      <protection hidden="1"/>
    </xf>
    <xf numFmtId="0" fontId="40" fillId="14" borderId="1" xfId="0" applyFont="1" applyFill="1" applyBorder="1" applyAlignment="1" applyProtection="1">
      <alignment horizontal="center" vertical="center"/>
      <protection hidden="1"/>
    </xf>
    <xf numFmtId="169" fontId="69" fillId="14" borderId="1" xfId="1" applyNumberFormat="1" applyFont="1" applyFill="1" applyBorder="1" applyAlignment="1" applyProtection="1">
      <alignment vertical="center"/>
      <protection hidden="1"/>
    </xf>
    <xf numFmtId="169" fontId="33" fillId="14" borderId="1" xfId="1" applyNumberFormat="1" applyFont="1" applyFill="1" applyBorder="1" applyAlignment="1" applyProtection="1">
      <alignment vertical="center"/>
      <protection hidden="1"/>
    </xf>
    <xf numFmtId="10" fontId="33" fillId="14" borderId="1" xfId="1" applyNumberFormat="1" applyFont="1" applyFill="1" applyBorder="1" applyAlignment="1" applyProtection="1">
      <alignment vertical="center"/>
      <protection hidden="1"/>
    </xf>
    <xf numFmtId="165" fontId="47" fillId="0" borderId="0" xfId="0" applyNumberFormat="1" applyFont="1" applyAlignment="1" applyProtection="1">
      <alignment vertical="center"/>
      <protection hidden="1"/>
    </xf>
    <xf numFmtId="0" fontId="71" fillId="0" borderId="0" xfId="0" applyFont="1" applyAlignment="1" applyProtection="1">
      <alignment vertical="center"/>
      <protection hidden="1"/>
    </xf>
    <xf numFmtId="3" fontId="71" fillId="0" borderId="0" xfId="1" applyNumberFormat="1" applyFont="1" applyBorder="1" applyAlignment="1" applyProtection="1">
      <alignment vertical="center"/>
      <protection hidden="1"/>
    </xf>
    <xf numFmtId="4" fontId="33" fillId="0" borderId="0" xfId="0" applyNumberFormat="1" applyFont="1" applyAlignment="1" applyProtection="1">
      <alignment vertical="center"/>
      <protection hidden="1"/>
    </xf>
    <xf numFmtId="3" fontId="32" fillId="0" borderId="0" xfId="1" applyNumberFormat="1" applyFont="1" applyBorder="1" applyAlignment="1" applyProtection="1">
      <alignment vertical="center"/>
      <protection hidden="1"/>
    </xf>
    <xf numFmtId="4" fontId="40" fillId="0" borderId="0" xfId="1" applyNumberFormat="1" applyFont="1" applyBorder="1" applyAlignment="1" applyProtection="1">
      <alignment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4" fontId="32" fillId="5" borderId="0" xfId="0" applyNumberFormat="1" applyFont="1" applyFill="1" applyAlignment="1" applyProtection="1">
      <alignment vertical="center"/>
      <protection hidden="1"/>
    </xf>
    <xf numFmtId="3" fontId="181" fillId="0" borderId="0" xfId="1" applyNumberFormat="1" applyFont="1" applyBorder="1" applyAlignment="1" applyProtection="1">
      <alignment horizontal="right" vertical="center"/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10" fontId="33" fillId="0" borderId="0" xfId="1" applyNumberFormat="1" applyFont="1" applyAlignment="1" applyProtection="1">
      <alignment vertical="center"/>
      <protection hidden="1"/>
    </xf>
    <xf numFmtId="0" fontId="203" fillId="14" borderId="1" xfId="0" applyFont="1" applyFill="1" applyBorder="1" applyAlignment="1" applyProtection="1">
      <alignment horizontal="right" vertical="center"/>
      <protection hidden="1"/>
    </xf>
    <xf numFmtId="0" fontId="40" fillId="0" borderId="1" xfId="0" applyFont="1" applyBorder="1" applyAlignment="1" applyProtection="1">
      <alignment vertical="center"/>
      <protection hidden="1"/>
    </xf>
    <xf numFmtId="3" fontId="204" fillId="0" borderId="1" xfId="0" applyNumberFormat="1" applyFont="1" applyBorder="1" applyAlignment="1" applyProtection="1">
      <alignment vertical="center"/>
      <protection hidden="1"/>
    </xf>
    <xf numFmtId="3" fontId="69" fillId="0" borderId="1" xfId="0" applyNumberFormat="1" applyFont="1" applyBorder="1" applyAlignment="1" applyProtection="1">
      <alignment vertical="center"/>
      <protection hidden="1"/>
    </xf>
    <xf numFmtId="3" fontId="40" fillId="0" borderId="1" xfId="0" applyNumberFormat="1" applyFont="1" applyBorder="1" applyAlignment="1" applyProtection="1">
      <alignment vertical="center"/>
      <protection hidden="1"/>
    </xf>
    <xf numFmtId="0" fontId="40" fillId="0" borderId="1" xfId="0" applyFont="1" applyBorder="1" applyAlignment="1" applyProtection="1">
      <alignment horizontal="left" vertical="center"/>
      <protection hidden="1"/>
    </xf>
    <xf numFmtId="3" fontId="32" fillId="0" borderId="1" xfId="0" applyNumberFormat="1" applyFont="1" applyBorder="1" applyAlignment="1" applyProtection="1">
      <alignment vertical="center"/>
      <protection hidden="1"/>
    </xf>
    <xf numFmtId="3" fontId="203" fillId="0" borderId="1" xfId="0" applyNumberFormat="1" applyFont="1" applyBorder="1" applyAlignment="1" applyProtection="1">
      <alignment vertical="center"/>
      <protection hidden="1"/>
    </xf>
    <xf numFmtId="3" fontId="68" fillId="0" borderId="1" xfId="0" applyNumberFormat="1" applyFont="1" applyBorder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hidden="1"/>
    </xf>
    <xf numFmtId="3" fontId="33" fillId="0" borderId="1" xfId="0" applyNumberFormat="1" applyFont="1" applyBorder="1" applyAlignment="1" applyProtection="1">
      <alignment vertical="center"/>
      <protection hidden="1"/>
    </xf>
    <xf numFmtId="0" fontId="32" fillId="15" borderId="1" xfId="0" applyFont="1" applyFill="1" applyBorder="1" applyAlignment="1" applyProtection="1">
      <alignment vertical="center"/>
      <protection hidden="1"/>
    </xf>
    <xf numFmtId="3" fontId="203" fillId="15" borderId="1" xfId="0" applyNumberFormat="1" applyFont="1" applyFill="1" applyBorder="1" applyAlignment="1" applyProtection="1">
      <alignment vertical="center"/>
      <protection hidden="1"/>
    </xf>
    <xf numFmtId="3" fontId="68" fillId="15" borderId="1" xfId="0" applyNumberFormat="1" applyFont="1" applyFill="1" applyBorder="1" applyAlignment="1" applyProtection="1">
      <alignment vertical="center"/>
      <protection hidden="1"/>
    </xf>
    <xf numFmtId="3" fontId="32" fillId="15" borderId="1" xfId="0" applyNumberFormat="1" applyFont="1" applyFill="1" applyBorder="1" applyAlignment="1" applyProtection="1">
      <alignment vertical="center"/>
      <protection hidden="1"/>
    </xf>
    <xf numFmtId="3" fontId="203" fillId="14" borderId="1" xfId="0" applyNumberFormat="1" applyFont="1" applyFill="1" applyBorder="1" applyAlignment="1" applyProtection="1">
      <alignment vertical="center"/>
      <protection hidden="1"/>
    </xf>
    <xf numFmtId="3" fontId="68" fillId="14" borderId="1" xfId="0" applyNumberFormat="1" applyFont="1" applyFill="1" applyBorder="1" applyAlignment="1" applyProtection="1">
      <alignment vertical="center"/>
      <protection hidden="1"/>
    </xf>
    <xf numFmtId="3" fontId="32" fillId="14" borderId="1" xfId="0" applyNumberFormat="1" applyFont="1" applyFill="1" applyBorder="1" applyAlignment="1" applyProtection="1">
      <alignment vertical="center"/>
      <protection hidden="1"/>
    </xf>
    <xf numFmtId="0" fontId="34" fillId="0" borderId="0" xfId="0" applyFont="1" applyAlignment="1" applyProtection="1">
      <alignment vertical="center"/>
      <protection hidden="1"/>
    </xf>
    <xf numFmtId="3" fontId="70" fillId="0" borderId="0" xfId="0" applyNumberFormat="1" applyFont="1" applyAlignment="1" applyProtection="1">
      <alignment vertical="center"/>
      <protection hidden="1"/>
    </xf>
    <xf numFmtId="3" fontId="68" fillId="0" borderId="0" xfId="0" applyNumberFormat="1" applyFont="1" applyAlignment="1" applyProtection="1">
      <alignment vertical="center"/>
      <protection hidden="1"/>
    </xf>
    <xf numFmtId="3" fontId="32" fillId="0" borderId="0" xfId="0" applyNumberFormat="1" applyFont="1" applyAlignment="1" applyProtection="1">
      <alignment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2" fontId="47" fillId="0" borderId="0" xfId="0" applyNumberFormat="1" applyFont="1" applyAlignment="1" applyProtection="1">
      <alignment vertical="center"/>
      <protection hidden="1"/>
    </xf>
    <xf numFmtId="0" fontId="35" fillId="19" borderId="0" xfId="0" applyFont="1" applyFill="1" applyAlignment="1" applyProtection="1">
      <alignment vertical="center"/>
      <protection hidden="1"/>
    </xf>
    <xf numFmtId="0" fontId="35" fillId="2" borderId="7" xfId="0" applyFont="1" applyFill="1" applyBorder="1" applyAlignment="1" applyProtection="1">
      <alignment vertical="center" wrapText="1"/>
      <protection hidden="1"/>
    </xf>
    <xf numFmtId="0" fontId="33" fillId="2" borderId="7" xfId="0" applyFont="1" applyFill="1" applyBorder="1" applyAlignment="1" applyProtection="1">
      <alignment vertical="center" wrapText="1"/>
      <protection hidden="1"/>
    </xf>
    <xf numFmtId="0" fontId="33" fillId="2" borderId="7" xfId="0" applyFont="1" applyFill="1" applyBorder="1" applyAlignment="1" applyProtection="1">
      <alignment horizontal="center" vertical="center"/>
      <protection hidden="1"/>
    </xf>
    <xf numFmtId="0" fontId="40" fillId="0" borderId="8" xfId="0" applyFont="1" applyBorder="1" applyAlignment="1" applyProtection="1">
      <alignment vertical="center"/>
      <protection hidden="1"/>
    </xf>
    <xf numFmtId="3" fontId="52" fillId="0" borderId="8" xfId="0" applyNumberFormat="1" applyFont="1" applyBorder="1" applyAlignment="1" applyProtection="1">
      <alignment vertical="center"/>
      <protection hidden="1"/>
    </xf>
    <xf numFmtId="3" fontId="52" fillId="17" borderId="8" xfId="0" applyNumberFormat="1" applyFont="1" applyFill="1" applyBorder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3" fontId="52" fillId="0" borderId="0" xfId="0" applyNumberFormat="1" applyFont="1" applyAlignment="1" applyProtection="1">
      <alignment vertical="center"/>
      <protection hidden="1"/>
    </xf>
    <xf numFmtId="3" fontId="52" fillId="17" borderId="0" xfId="0" applyNumberFormat="1" applyFont="1" applyFill="1" applyAlignment="1" applyProtection="1">
      <alignment vertical="center"/>
      <protection hidden="1"/>
    </xf>
    <xf numFmtId="0" fontId="40" fillId="0" borderId="7" xfId="0" applyFont="1" applyBorder="1" applyAlignment="1" applyProtection="1">
      <alignment vertical="center"/>
      <protection hidden="1"/>
    </xf>
    <xf numFmtId="3" fontId="40" fillId="0" borderId="7" xfId="1" applyNumberFormat="1" applyFont="1" applyFill="1" applyBorder="1" applyAlignment="1" applyProtection="1">
      <alignment vertical="center"/>
      <protection hidden="1"/>
    </xf>
    <xf numFmtId="3" fontId="52" fillId="17" borderId="7" xfId="0" applyNumberFormat="1" applyFont="1" applyFill="1" applyBorder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3" fontId="40" fillId="0" borderId="8" xfId="0" applyNumberFormat="1" applyFont="1" applyBorder="1" applyAlignment="1" applyProtection="1">
      <alignment vertical="center"/>
      <protection hidden="1"/>
    </xf>
    <xf numFmtId="3" fontId="51" fillId="0" borderId="0" xfId="0" applyNumberFormat="1" applyFont="1" applyAlignment="1" applyProtection="1">
      <alignment vertical="center"/>
      <protection hidden="1"/>
    </xf>
    <xf numFmtId="167" fontId="33" fillId="0" borderId="0" xfId="0" applyNumberFormat="1" applyFont="1" applyAlignment="1" applyProtection="1">
      <alignment horizontal="center" vertical="center"/>
      <protection hidden="1"/>
    </xf>
    <xf numFmtId="0" fontId="38" fillId="21" borderId="8" xfId="0" applyFont="1" applyFill="1" applyBorder="1" applyAlignment="1" applyProtection="1">
      <alignment horizontal="right" vertical="center"/>
      <protection hidden="1"/>
    </xf>
    <xf numFmtId="10" fontId="62" fillId="21" borderId="8" xfId="0" applyNumberFormat="1" applyFont="1" applyFill="1" applyBorder="1" applyAlignment="1" applyProtection="1">
      <alignment horizontal="right" vertical="center"/>
      <protection hidden="1"/>
    </xf>
    <xf numFmtId="3" fontId="46" fillId="21" borderId="8" xfId="0" applyNumberFormat="1" applyFont="1" applyFill="1" applyBorder="1" applyAlignment="1" applyProtection="1">
      <alignment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8" fillId="21" borderId="0" xfId="0" applyFont="1" applyFill="1" applyAlignment="1" applyProtection="1">
      <alignment horizontal="right" vertical="center"/>
      <protection hidden="1"/>
    </xf>
    <xf numFmtId="10" fontId="46" fillId="21" borderId="0" xfId="0" applyNumberFormat="1" applyFont="1" applyFill="1" applyAlignment="1" applyProtection="1">
      <alignment vertical="center"/>
      <protection hidden="1"/>
    </xf>
    <xf numFmtId="3" fontId="46" fillId="21" borderId="0" xfId="0" applyNumberFormat="1" applyFont="1" applyFill="1" applyAlignment="1" applyProtection="1">
      <alignment vertical="center"/>
      <protection hidden="1"/>
    </xf>
    <xf numFmtId="0" fontId="38" fillId="21" borderId="7" xfId="0" applyFont="1" applyFill="1" applyBorder="1" applyAlignment="1" applyProtection="1">
      <alignment horizontal="right" vertical="center"/>
      <protection hidden="1"/>
    </xf>
    <xf numFmtId="10" fontId="46" fillId="21" borderId="7" xfId="0" applyNumberFormat="1" applyFont="1" applyFill="1" applyBorder="1" applyAlignment="1" applyProtection="1">
      <alignment vertical="center"/>
      <protection hidden="1"/>
    </xf>
    <xf numFmtId="3" fontId="46" fillId="21" borderId="7" xfId="0" applyNumberFormat="1" applyFont="1" applyFill="1" applyBorder="1" applyAlignment="1" applyProtection="1">
      <alignment vertical="center"/>
      <protection hidden="1"/>
    </xf>
    <xf numFmtId="0" fontId="37" fillId="0" borderId="0" xfId="0" applyFont="1" applyAlignment="1" applyProtection="1">
      <alignment horizontal="right" vertical="center"/>
      <protection hidden="1"/>
    </xf>
    <xf numFmtId="10" fontId="51" fillId="0" borderId="0" xfId="0" applyNumberFormat="1" applyFont="1" applyAlignment="1" applyProtection="1">
      <alignment vertical="center"/>
      <protection hidden="1"/>
    </xf>
    <xf numFmtId="3" fontId="43" fillId="0" borderId="0" xfId="0" applyNumberFormat="1" applyFont="1" applyAlignment="1" applyProtection="1">
      <alignment vertical="center"/>
      <protection hidden="1"/>
    </xf>
    <xf numFmtId="3" fontId="46" fillId="0" borderId="0" xfId="0" applyNumberFormat="1" applyFont="1" applyAlignment="1" applyProtection="1">
      <alignment vertical="center"/>
      <protection hidden="1"/>
    </xf>
    <xf numFmtId="0" fontId="37" fillId="0" borderId="8" xfId="0" applyFont="1" applyBorder="1" applyAlignment="1" applyProtection="1">
      <alignment horizontal="right" vertical="center"/>
      <protection hidden="1"/>
    </xf>
    <xf numFmtId="0" fontId="46" fillId="0" borderId="8" xfId="0" applyFont="1" applyBorder="1" applyAlignment="1" applyProtection="1">
      <alignment vertical="center"/>
      <protection hidden="1"/>
    </xf>
    <xf numFmtId="3" fontId="51" fillId="0" borderId="8" xfId="0" applyNumberFormat="1" applyFont="1" applyBorder="1" applyAlignment="1" applyProtection="1">
      <alignment vertical="center"/>
      <protection hidden="1"/>
    </xf>
    <xf numFmtId="3" fontId="46" fillId="0" borderId="8" xfId="0" applyNumberFormat="1" applyFont="1" applyBorder="1" applyAlignment="1" applyProtection="1">
      <alignment vertical="center"/>
      <protection hidden="1"/>
    </xf>
    <xf numFmtId="10" fontId="46" fillId="0" borderId="0" xfId="0" applyNumberFormat="1" applyFont="1" applyAlignment="1" applyProtection="1">
      <alignment vertical="center"/>
      <protection hidden="1"/>
    </xf>
    <xf numFmtId="0" fontId="37" fillId="0" borderId="7" xfId="0" applyFont="1" applyBorder="1" applyAlignment="1" applyProtection="1">
      <alignment horizontal="right" vertical="center"/>
      <protection hidden="1"/>
    </xf>
    <xf numFmtId="10" fontId="46" fillId="0" borderId="7" xfId="0" applyNumberFormat="1" applyFont="1" applyBorder="1" applyAlignment="1" applyProtection="1">
      <alignment vertical="center"/>
      <protection hidden="1"/>
    </xf>
    <xf numFmtId="3" fontId="51" fillId="0" borderId="7" xfId="0" applyNumberFormat="1" applyFont="1" applyBorder="1" applyAlignment="1" applyProtection="1">
      <alignment vertical="center"/>
      <protection hidden="1"/>
    </xf>
    <xf numFmtId="3" fontId="43" fillId="0" borderId="7" xfId="0" applyNumberFormat="1" applyFont="1" applyBorder="1" applyAlignment="1" applyProtection="1">
      <alignment vertical="center"/>
      <protection hidden="1"/>
    </xf>
    <xf numFmtId="10" fontId="51" fillId="0" borderId="7" xfId="0" applyNumberFormat="1" applyFont="1" applyBorder="1" applyAlignment="1" applyProtection="1">
      <alignment vertical="center"/>
      <protection hidden="1"/>
    </xf>
    <xf numFmtId="3" fontId="54" fillId="0" borderId="8" xfId="0" applyNumberFormat="1" applyFont="1" applyBorder="1" applyAlignment="1" applyProtection="1">
      <alignment vertical="center"/>
      <protection hidden="1"/>
    </xf>
    <xf numFmtId="3" fontId="44" fillId="0" borderId="8" xfId="0" applyNumberFormat="1" applyFont="1" applyBorder="1" applyAlignment="1" applyProtection="1">
      <alignment horizontal="right" vertical="center"/>
      <protection hidden="1"/>
    </xf>
    <xf numFmtId="0" fontId="54" fillId="0" borderId="0" xfId="0" applyFont="1" applyAlignment="1" applyProtection="1">
      <alignment vertical="center"/>
      <protection hidden="1"/>
    </xf>
    <xf numFmtId="3" fontId="54" fillId="0" borderId="0" xfId="0" applyNumberFormat="1" applyFont="1" applyAlignment="1" applyProtection="1">
      <alignment vertical="center"/>
      <protection hidden="1"/>
    </xf>
    <xf numFmtId="3" fontId="54" fillId="0" borderId="7" xfId="0" applyNumberFormat="1" applyFont="1" applyBorder="1" applyAlignment="1" applyProtection="1">
      <alignment vertical="center"/>
      <protection hidden="1"/>
    </xf>
    <xf numFmtId="171" fontId="87" fillId="14" borderId="2" xfId="0" applyNumberFormat="1" applyFont="1" applyFill="1" applyBorder="1" applyAlignment="1">
      <alignment horizontal="center" wrapText="1"/>
    </xf>
    <xf numFmtId="171" fontId="87" fillId="14" borderId="3" xfId="0" applyNumberFormat="1" applyFont="1" applyFill="1" applyBorder="1" applyAlignment="1">
      <alignment horizontal="center" wrapText="1"/>
    </xf>
    <xf numFmtId="171" fontId="87" fillId="14" borderId="4" xfId="0" applyNumberFormat="1" applyFont="1" applyFill="1" applyBorder="1" applyAlignment="1">
      <alignment horizontal="center" wrapText="1"/>
    </xf>
    <xf numFmtId="172" fontId="35" fillId="14" borderId="0" xfId="0" applyNumberFormat="1" applyFont="1" applyFill="1" applyAlignment="1">
      <alignment horizontal="center" wrapText="1"/>
    </xf>
    <xf numFmtId="172" fontId="35" fillId="28" borderId="0" xfId="0" applyNumberFormat="1" applyFont="1" applyFill="1" applyAlignment="1">
      <alignment horizontal="center" wrapText="1"/>
    </xf>
    <xf numFmtId="172" fontId="113" fillId="2" borderId="0" xfId="0" applyNumberFormat="1" applyFont="1" applyFill="1" applyAlignment="1">
      <alignment horizontal="center" wrapText="1"/>
    </xf>
    <xf numFmtId="171" fontId="104" fillId="14" borderId="2" xfId="0" applyNumberFormat="1" applyFont="1" applyFill="1" applyBorder="1" applyAlignment="1">
      <alignment horizontal="center" wrapText="1"/>
    </xf>
    <xf numFmtId="171" fontId="104" fillId="14" borderId="3" xfId="0" applyNumberFormat="1" applyFont="1" applyFill="1" applyBorder="1" applyAlignment="1">
      <alignment horizontal="center" wrapText="1"/>
    </xf>
    <xf numFmtId="171" fontId="104" fillId="14" borderId="4" xfId="0" applyNumberFormat="1" applyFont="1" applyFill="1" applyBorder="1" applyAlignment="1">
      <alignment horizontal="center" wrapText="1"/>
    </xf>
    <xf numFmtId="0" fontId="83" fillId="27" borderId="1" xfId="0" applyFont="1" applyFill="1" applyBorder="1" applyAlignment="1">
      <alignment horizontal="left" vertical="center" wrapText="1"/>
    </xf>
    <xf numFmtId="0" fontId="82" fillId="0" borderId="5" xfId="0" applyFont="1" applyBorder="1" applyAlignment="1">
      <alignment horizontal="left" vertical="center" wrapText="1"/>
    </xf>
    <xf numFmtId="0" fontId="82" fillId="0" borderId="6" xfId="0" applyFont="1" applyBorder="1" applyAlignment="1">
      <alignment horizontal="left" vertical="center" wrapText="1"/>
    </xf>
    <xf numFmtId="0" fontId="83" fillId="27" borderId="2" xfId="0" applyFont="1" applyFill="1" applyBorder="1" applyAlignment="1">
      <alignment horizontal="center" vertical="center" wrapText="1"/>
    </xf>
    <xf numFmtId="0" fontId="83" fillId="27" borderId="4" xfId="0" applyFont="1" applyFill="1" applyBorder="1" applyAlignment="1">
      <alignment horizontal="center" vertical="center" wrapText="1"/>
    </xf>
    <xf numFmtId="0" fontId="83" fillId="27" borderId="3" xfId="0" applyFont="1" applyFill="1" applyBorder="1" applyAlignment="1">
      <alignment horizontal="center" vertical="center" wrapText="1"/>
    </xf>
    <xf numFmtId="0" fontId="86" fillId="0" borderId="5" xfId="0" applyFont="1" applyBorder="1" applyAlignment="1">
      <alignment horizontal="left" vertical="center" wrapText="1"/>
    </xf>
    <xf numFmtId="0" fontId="86" fillId="0" borderId="11" xfId="0" applyFont="1" applyBorder="1" applyAlignment="1">
      <alignment horizontal="left" vertical="center" wrapText="1"/>
    </xf>
    <xf numFmtId="0" fontId="86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6" fillId="0" borderId="5" xfId="0" applyFont="1" applyBorder="1" applyAlignment="1">
      <alignment vertical="center" wrapText="1"/>
    </xf>
    <xf numFmtId="0" fontId="86" fillId="0" borderId="6" xfId="0" applyFont="1" applyBorder="1" applyAlignment="1">
      <alignment vertical="center" wrapText="1"/>
    </xf>
    <xf numFmtId="1" fontId="82" fillId="0" borderId="5" xfId="0" applyNumberFormat="1" applyFont="1" applyBorder="1" applyAlignment="1">
      <alignment horizontal="center" vertical="center" wrapText="1"/>
    </xf>
    <xf numFmtId="1" fontId="82" fillId="0" borderId="6" xfId="0" applyNumberFormat="1" applyFont="1" applyBorder="1" applyAlignment="1">
      <alignment horizontal="center" vertical="center" wrapText="1"/>
    </xf>
    <xf numFmtId="1" fontId="88" fillId="0" borderId="5" xfId="0" applyNumberFormat="1" applyFont="1" applyBorder="1" applyAlignment="1">
      <alignment horizontal="center" vertical="center" wrapText="1"/>
    </xf>
    <xf numFmtId="1" fontId="88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7" fillId="0" borderId="5" xfId="0" applyFont="1" applyBorder="1" applyAlignment="1">
      <alignment horizontal="left" vertical="center" wrapText="1"/>
    </xf>
    <xf numFmtId="0" fontId="87" fillId="0" borderId="11" xfId="0" applyFont="1" applyBorder="1" applyAlignment="1">
      <alignment horizontal="left" vertical="center" wrapText="1"/>
    </xf>
    <xf numFmtId="0" fontId="85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3" fillId="27" borderId="1" xfId="0" applyFont="1" applyFill="1" applyBorder="1" applyAlignment="1">
      <alignment horizontal="center" vertical="center" wrapText="1"/>
    </xf>
    <xf numFmtId="0" fontId="87" fillId="3" borderId="5" xfId="0" applyFont="1" applyFill="1" applyBorder="1" applyAlignment="1">
      <alignment horizontal="center" wrapText="1"/>
    </xf>
    <xf numFmtId="0" fontId="87" fillId="3" borderId="6" xfId="0" applyFont="1" applyFill="1" applyBorder="1" applyAlignment="1">
      <alignment horizontal="center" wrapText="1"/>
    </xf>
    <xf numFmtId="0" fontId="87" fillId="14" borderId="5" xfId="0" applyFont="1" applyFill="1" applyBorder="1" applyAlignment="1">
      <alignment horizontal="center" wrapText="1"/>
    </xf>
    <xf numFmtId="0" fontId="87" fillId="14" borderId="6" xfId="0" applyFont="1" applyFill="1" applyBorder="1" applyAlignment="1">
      <alignment horizontal="center" wrapText="1"/>
    </xf>
    <xf numFmtId="0" fontId="215" fillId="15" borderId="0" xfId="0" applyFont="1" applyFill="1" applyAlignment="1">
      <alignment horizontal="center" wrapText="1"/>
    </xf>
    <xf numFmtId="0" fontId="87" fillId="20" borderId="5" xfId="0" applyFont="1" applyFill="1" applyBorder="1" applyAlignment="1">
      <alignment horizontal="center" wrapText="1"/>
    </xf>
    <xf numFmtId="0" fontId="87" fillId="20" borderId="6" xfId="0" applyFont="1" applyFill="1" applyBorder="1" applyAlignment="1">
      <alignment horizontal="center" wrapText="1"/>
    </xf>
    <xf numFmtId="0" fontId="83" fillId="5" borderId="5" xfId="0" applyFont="1" applyFill="1" applyBorder="1" applyAlignment="1">
      <alignment horizontal="left" vertical="center" wrapText="1"/>
    </xf>
    <xf numFmtId="0" fontId="83" fillId="5" borderId="6" xfId="0" applyFont="1" applyFill="1" applyBorder="1" applyAlignment="1">
      <alignment horizontal="left" vertical="center" wrapText="1"/>
    </xf>
    <xf numFmtId="0" fontId="87" fillId="13" borderId="1" xfId="0" applyFont="1" applyFill="1" applyBorder="1" applyAlignment="1">
      <alignment horizontal="left"/>
    </xf>
    <xf numFmtId="0" fontId="83" fillId="30" borderId="2" xfId="0" applyFont="1" applyFill="1" applyBorder="1" applyAlignment="1">
      <alignment horizontal="center" vertical="center" wrapText="1"/>
    </xf>
    <xf numFmtId="0" fontId="83" fillId="30" borderId="3" xfId="0" applyFont="1" applyFill="1" applyBorder="1" applyAlignment="1">
      <alignment horizontal="center" vertical="center" wrapText="1"/>
    </xf>
    <xf numFmtId="0" fontId="83" fillId="30" borderId="4" xfId="0" applyFont="1" applyFill="1" applyBorder="1" applyAlignment="1">
      <alignment horizontal="center" vertical="center" wrapText="1"/>
    </xf>
    <xf numFmtId="0" fontId="87" fillId="14" borderId="2" xfId="0" applyFont="1" applyFill="1" applyBorder="1" applyAlignment="1">
      <alignment horizontal="left"/>
    </xf>
    <xf numFmtId="0" fontId="87" fillId="14" borderId="3" xfId="0" applyFont="1" applyFill="1" applyBorder="1" applyAlignment="1">
      <alignment horizontal="left"/>
    </xf>
    <xf numFmtId="0" fontId="87" fillId="14" borderId="4" xfId="0" applyFont="1" applyFill="1" applyBorder="1" applyAlignment="1">
      <alignment horizontal="left"/>
    </xf>
    <xf numFmtId="0" fontId="85" fillId="4" borderId="5" xfId="0" applyFont="1" applyFill="1" applyBorder="1" applyAlignment="1">
      <alignment horizontal="center" vertical="center" wrapText="1"/>
    </xf>
    <xf numFmtId="0" fontId="85" fillId="4" borderId="6" xfId="0" applyFont="1" applyFill="1" applyBorder="1" applyAlignment="1">
      <alignment horizontal="center" vertical="center" wrapText="1"/>
    </xf>
    <xf numFmtId="170" fontId="83" fillId="4" borderId="2" xfId="0" applyNumberFormat="1" applyFont="1" applyFill="1" applyBorder="1" applyAlignment="1">
      <alignment horizontal="center" vertical="center" wrapText="1"/>
    </xf>
    <xf numFmtId="170" fontId="83" fillId="4" borderId="3" xfId="0" applyNumberFormat="1" applyFont="1" applyFill="1" applyBorder="1" applyAlignment="1">
      <alignment horizontal="center" vertical="center" wrapText="1"/>
    </xf>
    <xf numFmtId="170" fontId="83" fillId="4" borderId="4" xfId="0" applyNumberFormat="1" applyFont="1" applyFill="1" applyBorder="1" applyAlignment="1">
      <alignment horizontal="center" vertical="center" wrapText="1"/>
    </xf>
    <xf numFmtId="0" fontId="83" fillId="5" borderId="5" xfId="0" applyFont="1" applyFill="1" applyBorder="1" applyAlignment="1">
      <alignment horizontal="center" vertical="center" wrapText="1"/>
    </xf>
    <xf numFmtId="0" fontId="83" fillId="5" borderId="6" xfId="0" applyFont="1" applyFill="1" applyBorder="1" applyAlignment="1">
      <alignment horizontal="center" vertical="center" wrapText="1"/>
    </xf>
    <xf numFmtId="0" fontId="83" fillId="5" borderId="2" xfId="0" applyFont="1" applyFill="1" applyBorder="1" applyAlignment="1">
      <alignment horizontal="center" vertical="center" wrapText="1"/>
    </xf>
    <xf numFmtId="0" fontId="83" fillId="5" borderId="3" xfId="0" applyFont="1" applyFill="1" applyBorder="1" applyAlignment="1">
      <alignment horizontal="center" vertical="center" wrapText="1"/>
    </xf>
    <xf numFmtId="0" fontId="83" fillId="5" borderId="4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 wrapText="1"/>
    </xf>
    <xf numFmtId="0" fontId="83" fillId="4" borderId="2" xfId="0" applyFont="1" applyFill="1" applyBorder="1" applyAlignment="1">
      <alignment horizontal="center" vertical="center" wrapText="1"/>
    </xf>
    <xf numFmtId="0" fontId="83" fillId="4" borderId="3" xfId="0" applyFont="1" applyFill="1" applyBorder="1" applyAlignment="1">
      <alignment horizontal="center" vertical="center" wrapText="1"/>
    </xf>
    <xf numFmtId="0" fontId="83" fillId="4" borderId="4" xfId="0" applyFont="1" applyFill="1" applyBorder="1" applyAlignment="1">
      <alignment horizontal="center" vertical="center" wrapText="1"/>
    </xf>
  </cellXfs>
  <cellStyles count="2">
    <cellStyle name="Normaallaad" xfId="0" builtinId="0"/>
    <cellStyle name="Protsent" xfId="1" builtinId="5"/>
  </cellStyles>
  <dxfs count="1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70C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2CFE3"/>
      <color rgb="FFCC00CC"/>
      <color rgb="FFEDF1F9"/>
      <color rgb="FFEBEBFF"/>
      <color rgb="FFCC99FF"/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Ühikhinnad!$C$21:$G$21</c:f>
              <c:numCache>
                <c:formatCode>General</c:formatCode>
                <c:ptCount val="5"/>
                <c:pt idx="0">
                  <c:v>700</c:v>
                </c:pt>
                <c:pt idx="1">
                  <c:v>900</c:v>
                </c:pt>
                <c:pt idx="2" formatCode="#,##0">
                  <c:v>1200</c:v>
                </c:pt>
                <c:pt idx="3">
                  <c:v>1600</c:v>
                </c:pt>
                <c:pt idx="4" formatCode="#,##0">
                  <c:v>1900</c:v>
                </c:pt>
              </c:numCache>
            </c:numRef>
          </c:xVal>
          <c:yVal>
            <c:numRef>
              <c:f>Ühikhinnad!$C$23:$G$23</c:f>
              <c:numCache>
                <c:formatCode>#,##0</c:formatCode>
                <c:ptCount val="5"/>
                <c:pt idx="0">
                  <c:v>195000</c:v>
                </c:pt>
                <c:pt idx="1">
                  <c:v>228000</c:v>
                </c:pt>
                <c:pt idx="2">
                  <c:v>265000</c:v>
                </c:pt>
                <c:pt idx="3">
                  <c:v>303000</c:v>
                </c:pt>
                <c:pt idx="4">
                  <c:v>325000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5D-4EBB-8E74-F9D0E326BF1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Ühikhinnad!$C$21:$G$21</c:f>
              <c:numCache>
                <c:formatCode>General</c:formatCode>
                <c:ptCount val="5"/>
                <c:pt idx="0">
                  <c:v>700</c:v>
                </c:pt>
                <c:pt idx="1">
                  <c:v>900</c:v>
                </c:pt>
                <c:pt idx="2" formatCode="#,##0">
                  <c:v>1200</c:v>
                </c:pt>
                <c:pt idx="3">
                  <c:v>1600</c:v>
                </c:pt>
                <c:pt idx="4" formatCode="#,##0">
                  <c:v>1900</c:v>
                </c:pt>
              </c:numCache>
            </c:numRef>
          </c:xVal>
          <c:yVal>
            <c:numRef>
              <c:f>Ühikhinnad!$C$25:$G$25</c:f>
              <c:numCache>
                <c:formatCode>#,##0</c:formatCode>
                <c:ptCount val="5"/>
                <c:pt idx="0">
                  <c:v>36000</c:v>
                </c:pt>
                <c:pt idx="1">
                  <c:v>42000</c:v>
                </c:pt>
                <c:pt idx="2">
                  <c:v>49000</c:v>
                </c:pt>
                <c:pt idx="3">
                  <c:v>56000</c:v>
                </c:pt>
                <c:pt idx="4">
                  <c:v>60000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5D-4EBB-8E74-F9D0E326BF1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Ühikhinnad!$C$21:$G$21</c:f>
              <c:numCache>
                <c:formatCode>General</c:formatCode>
                <c:ptCount val="5"/>
                <c:pt idx="0">
                  <c:v>700</c:v>
                </c:pt>
                <c:pt idx="1">
                  <c:v>900</c:v>
                </c:pt>
                <c:pt idx="2" formatCode="#,##0">
                  <c:v>1200</c:v>
                </c:pt>
                <c:pt idx="3">
                  <c:v>1600</c:v>
                </c:pt>
                <c:pt idx="4" formatCode="#,##0">
                  <c:v>1900</c:v>
                </c:pt>
              </c:numCache>
            </c:numRef>
          </c:xVal>
          <c:yVal>
            <c:numRef>
              <c:f>Ühikhinnad!$C$24:$G$24</c:f>
              <c:numCache>
                <c:formatCode>#,##0</c:formatCode>
                <c:ptCount val="5"/>
                <c:pt idx="0">
                  <c:v>160000</c:v>
                </c:pt>
                <c:pt idx="1">
                  <c:v>187000</c:v>
                </c:pt>
                <c:pt idx="2">
                  <c:v>218000</c:v>
                </c:pt>
                <c:pt idx="3">
                  <c:v>249000</c:v>
                </c:pt>
                <c:pt idx="4">
                  <c:v>267000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5D-4EBB-8E74-F9D0E326B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820575"/>
        <c:axId val="239881295"/>
      </c:scatterChart>
      <c:valAx>
        <c:axId val="219820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81295"/>
        <c:crosses val="autoZero"/>
        <c:crossBetween val="midCat"/>
      </c:valAx>
      <c:valAx>
        <c:axId val="23988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820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I-a pumpla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(Ühikhinnad!$C$45,Ühikhinnad!$H$45)</c:f>
              <c:numCache>
                <c:formatCode>General</c:formatCode>
                <c:ptCount val="2"/>
                <c:pt idx="0">
                  <c:v>2.2999999999999998</c:v>
                </c:pt>
                <c:pt idx="1">
                  <c:v>29.1</c:v>
                </c:pt>
              </c:numCache>
            </c:numRef>
          </c:xVal>
          <c:yVal>
            <c:numRef>
              <c:f>(Ühikhinnad!$C$48,Ühikhinnad!$H$48)</c:f>
              <c:numCache>
                <c:formatCode>#,##0</c:formatCode>
                <c:ptCount val="2"/>
                <c:pt idx="0">
                  <c:v>25000</c:v>
                </c:pt>
                <c:pt idx="1">
                  <c:v>39000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AB-4CDB-BF69-50F9F2CFA896}"/>
            </c:ext>
          </c:extLst>
        </c:ser>
        <c:ser>
          <c:idx val="1"/>
          <c:order val="1"/>
          <c:tx>
            <c:v>Veetöötlus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6065616797900266E-2"/>
                  <c:y val="-4.09413437290926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(Ühikhinnad!$C$45,Ühikhinnad!$K$45,Ühikhinnad!$M$45)</c:f>
              <c:numCache>
                <c:formatCode>General</c:formatCode>
                <c:ptCount val="3"/>
                <c:pt idx="0">
                  <c:v>2.2999999999999998</c:v>
                </c:pt>
                <c:pt idx="1">
                  <c:v>53.9</c:v>
                </c:pt>
                <c:pt idx="2">
                  <c:v>96.8</c:v>
                </c:pt>
              </c:numCache>
            </c:numRef>
          </c:xVal>
          <c:yVal>
            <c:numRef>
              <c:f>(Ühikhinnad!$C$49,Ühikhinnad!$K$49,Ühikhinnad!$M$49)</c:f>
              <c:numCache>
                <c:formatCode>#,##0</c:formatCode>
                <c:ptCount val="3"/>
                <c:pt idx="0">
                  <c:v>10000</c:v>
                </c:pt>
                <c:pt idx="1">
                  <c:v>21000</c:v>
                </c:pt>
                <c:pt idx="2">
                  <c:v>25000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AB-4CDB-BF69-50F9F2CFA896}"/>
            </c:ext>
          </c:extLst>
        </c:ser>
        <c:ser>
          <c:idx val="2"/>
          <c:order val="2"/>
          <c:tx>
            <c:v>II-a pumpla ja mahutid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26740813648293965"/>
                  <c:y val="0.169831390561473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(Ühikhinnad!$H$45,Ühikhinnad!$L$45)</c:f>
              <c:numCache>
                <c:formatCode>General</c:formatCode>
                <c:ptCount val="2"/>
                <c:pt idx="0">
                  <c:v>29.1</c:v>
                </c:pt>
                <c:pt idx="1">
                  <c:v>82.9</c:v>
                </c:pt>
              </c:numCache>
            </c:numRef>
          </c:xVal>
          <c:yVal>
            <c:numRef>
              <c:f>(Ühikhinnad!$H$50,Ühikhinnad!$L$50)</c:f>
              <c:numCache>
                <c:formatCode>#,##0</c:formatCode>
                <c:ptCount val="2"/>
                <c:pt idx="0">
                  <c:v>118000</c:v>
                </c:pt>
                <c:pt idx="1">
                  <c:v>140000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AB-4CDB-BF69-50F9F2CFA896}"/>
            </c:ext>
          </c:extLst>
        </c:ser>
        <c:ser>
          <c:idx val="3"/>
          <c:order val="3"/>
          <c:tx>
            <c:v>Uhteveepumpla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(Ühikhinnad!$H$45,Ühikhinnad!$K$45)</c:f>
              <c:numCache>
                <c:formatCode>General</c:formatCode>
                <c:ptCount val="2"/>
                <c:pt idx="0">
                  <c:v>29.1</c:v>
                </c:pt>
                <c:pt idx="1">
                  <c:v>53.9</c:v>
                </c:pt>
              </c:numCache>
            </c:numRef>
          </c:xVal>
          <c:yVal>
            <c:numRef>
              <c:f>(Ühikhinnad!$H$51,Ühikhinnad!$L$51)</c:f>
              <c:numCache>
                <c:formatCode>#,##0</c:formatCode>
                <c:ptCount val="2"/>
                <c:pt idx="0">
                  <c:v>17000</c:v>
                </c:pt>
                <c:pt idx="1">
                  <c:v>25000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AB-4CDB-BF69-50F9F2CF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3345200"/>
        <c:axId val="2032292464"/>
      </c:scatterChart>
      <c:valAx>
        <c:axId val="145334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92464"/>
        <c:crosses val="autoZero"/>
        <c:crossBetween val="midCat"/>
      </c:valAx>
      <c:valAx>
        <c:axId val="203229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334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Veehinna</a:t>
            </a:r>
            <a:r>
              <a:rPr lang="et-EE" baseline="0"/>
              <a:t> prognoos (V+K, €/m</a:t>
            </a:r>
            <a:r>
              <a:rPr lang="et-EE" baseline="30000"/>
              <a:t>3</a:t>
            </a:r>
            <a:r>
              <a:rPr lang="et-EE" baseline="0"/>
              <a:t>, ilma KM)</a:t>
            </a:r>
            <a:endParaRPr lang="et-E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Stsenaarium 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Joonised!$B$2:$M$2</c:f>
              <c:numCache>
                <c:formatCode>General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Joonised!$B$4:$M$4</c:f>
              <c:numCache>
                <c:formatCode>#,##0.00</c:formatCode>
                <c:ptCount val="12"/>
                <c:pt idx="0">
                  <c:v>4.9043249258549606</c:v>
                </c:pt>
                <c:pt idx="1">
                  <c:v>5.549027764868014</c:v>
                </c:pt>
                <c:pt idx="2">
                  <c:v>5.5706183763750303</c:v>
                </c:pt>
                <c:pt idx="3">
                  <c:v>5.6158035762468721</c:v>
                </c:pt>
                <c:pt idx="4">
                  <c:v>5.6674678931769673</c:v>
                </c:pt>
                <c:pt idx="5">
                  <c:v>5.7649886658467224</c:v>
                </c:pt>
                <c:pt idx="6">
                  <c:v>5.8778493676704962</c:v>
                </c:pt>
                <c:pt idx="7">
                  <c:v>5.9919053296575164</c:v>
                </c:pt>
                <c:pt idx="8">
                  <c:v>6.1158804148606238</c:v>
                </c:pt>
                <c:pt idx="9">
                  <c:v>6.263629160251563</c:v>
                </c:pt>
                <c:pt idx="10">
                  <c:v>6.4133632078228979</c:v>
                </c:pt>
                <c:pt idx="11">
                  <c:v>6.5650366420054889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4-4185-8351-1AF3C6247354}"/>
            </c:ext>
          </c:extLst>
        </c:ser>
        <c:ser>
          <c:idx val="1"/>
          <c:order val="1"/>
          <c:tx>
            <c:v>Stsenaarium B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Joonised!$B$2:$M$2</c:f>
              <c:numCache>
                <c:formatCode>General</c:formatCode>
                <c:ptCount val="1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numCache>
            </c:numRef>
          </c:cat>
          <c:val>
            <c:numRef>
              <c:f>Joonised!$B$12:$M$12</c:f>
              <c:numCache>
                <c:formatCode>#,##0.00</c:formatCode>
                <c:ptCount val="12"/>
                <c:pt idx="0">
                  <c:v>4.9043249258549606</c:v>
                </c:pt>
                <c:pt idx="1">
                  <c:v>5.549027764868014</c:v>
                </c:pt>
                <c:pt idx="2">
                  <c:v>5.5706183763750303</c:v>
                </c:pt>
                <c:pt idx="3">
                  <c:v>5.6158035762468721</c:v>
                </c:pt>
                <c:pt idx="4">
                  <c:v>6.9800898482542868</c:v>
                </c:pt>
                <c:pt idx="5">
                  <c:v>7.1070272105076704</c:v>
                </c:pt>
                <c:pt idx="6">
                  <c:v>7.2521098069093446</c:v>
                </c:pt>
                <c:pt idx="7">
                  <c:v>7.3981285347735719</c:v>
                </c:pt>
                <c:pt idx="8">
                  <c:v>7.5548082392031439</c:v>
                </c:pt>
                <c:pt idx="9">
                  <c:v>7.7348922781505935</c:v>
                </c:pt>
                <c:pt idx="10">
                  <c:v>7.9177109453528454</c:v>
                </c:pt>
                <c:pt idx="11">
                  <c:v>8.1032327454451245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4-4185-8351-1AF3C6247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290944"/>
        <c:axId val="1738178208"/>
      </c:barChart>
      <c:catAx>
        <c:axId val="13262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178208"/>
        <c:crosses val="autoZero"/>
        <c:auto val="1"/>
        <c:lblAlgn val="ctr"/>
        <c:lblOffset val="100"/>
        <c:noMultiLvlLbl val="0"/>
      </c:catAx>
      <c:valAx>
        <c:axId val="173817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29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89535</xdr:colOff>
      <xdr:row>0</xdr:row>
      <xdr:rowOff>0</xdr:rowOff>
    </xdr:from>
    <xdr:to>
      <xdr:col>26</xdr:col>
      <xdr:colOff>3644</xdr:colOff>
      <xdr:row>24</xdr:row>
      <xdr:rowOff>96268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9B07E6E5-5C25-418B-9143-548A0C82C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09295" y="0"/>
          <a:ext cx="5400509" cy="4485388"/>
        </a:xfrm>
        <a:prstGeom prst="rect">
          <a:avLst/>
        </a:prstGeom>
      </xdr:spPr>
    </xdr:pic>
    <xdr:clientData/>
  </xdr:twoCellAnchor>
  <xdr:twoCellAnchor>
    <xdr:from>
      <xdr:col>9</xdr:col>
      <xdr:colOff>91440</xdr:colOff>
      <xdr:row>10</xdr:row>
      <xdr:rowOff>39052</xdr:rowOff>
    </xdr:from>
    <xdr:to>
      <xdr:col>16</xdr:col>
      <xdr:colOff>396240</xdr:colOff>
      <xdr:row>37</xdr:row>
      <xdr:rowOff>952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7A1DEE8-179C-4335-8521-61A767113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253365</xdr:colOff>
      <xdr:row>42</xdr:row>
      <xdr:rowOff>10477</xdr:rowOff>
    </xdr:from>
    <xdr:to>
      <xdr:col>27</xdr:col>
      <xdr:colOff>558165</xdr:colOff>
      <xdr:row>65</xdr:row>
      <xdr:rowOff>35242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548B646-EF84-4661-AED1-1C23AD5F1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18</xdr:row>
      <xdr:rowOff>29527</xdr:rowOff>
    </xdr:from>
    <xdr:to>
      <xdr:col>10</xdr:col>
      <xdr:colOff>26670</xdr:colOff>
      <xdr:row>33</xdr:row>
      <xdr:rowOff>50482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513EDBC-376C-8861-45D9-47688B435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drek-my.sharepoint.com/personal/indrek_indrek_onmicrosoft_com/Documents/3.%20T&#246;&#246;solevad/20-23%20Saku%20valla%20&#220;VKA/08_Alternatiivid/Alternatiivid.xlsx" TargetMode="External"/><Relationship Id="rId1" Type="http://schemas.openxmlformats.org/officeDocument/2006/relationships/externalLinkPath" Target="08_Alternatiivid/Alternatii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än-Jäl"/>
      <sheetName val="Tän"/>
      <sheetName val="Jäl"/>
      <sheetName val="Sau-Rah"/>
      <sheetName val="Sau-Rah2"/>
      <sheetName val="Q-ülej"/>
      <sheetName val="Saku"/>
      <sheetName val="Muru"/>
      <sheetName val="Sausti"/>
      <sheetName val="Lok"/>
      <sheetName val="Tõd"/>
      <sheetName val="Ühikhinnad"/>
      <sheetName val="OP"/>
      <sheetName val="PRK-Balrock"/>
      <sheetName val="VTJ-Kungla"/>
      <sheetName val="VTJ-TREV2"/>
      <sheetName val="Männiku"/>
      <sheetName val="Metsanurme-MERK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1">
          <cell r="D11">
            <v>45400</v>
          </cell>
        </row>
      </sheetData>
      <sheetData sheetId="14">
        <row r="18">
          <cell r="O18">
            <v>114000</v>
          </cell>
        </row>
        <row r="19">
          <cell r="O19">
            <v>65300</v>
          </cell>
        </row>
        <row r="20">
          <cell r="O20">
            <v>75000</v>
          </cell>
        </row>
        <row r="24">
          <cell r="K24">
            <v>25000</v>
          </cell>
        </row>
      </sheetData>
      <sheetData sheetId="15">
        <row r="42">
          <cell r="E42">
            <v>60495</v>
          </cell>
        </row>
        <row r="45">
          <cell r="E45">
            <v>6049.5</v>
          </cell>
        </row>
        <row r="46">
          <cell r="E46">
            <v>37506.9</v>
          </cell>
        </row>
        <row r="47">
          <cell r="E47">
            <v>13308.9</v>
          </cell>
        </row>
        <row r="49">
          <cell r="E49">
            <v>94372.2</v>
          </cell>
        </row>
      </sheetData>
      <sheetData sheetId="16">
        <row r="18">
          <cell r="E18">
            <v>270000</v>
          </cell>
        </row>
        <row r="19">
          <cell r="E19">
            <v>75000</v>
          </cell>
        </row>
      </sheetData>
      <sheetData sheetId="1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ertu Nurklik" id="{1E32B1DC-A5DC-4407-B505-E8E52B0820BA}" userId="S::kertu.nurklik@sakumaja.ee::a1e6f00d-484e-4b07-9477-0ba58d9caa67" providerId="AD"/>
  <person displayName="Helen Barndõk" id="{4CC19016-F53E-4336-A25D-BA604EF59FD6}" userId="S::helen@indrek.onmicrosoft.com::a37501fb-9abf-43f3-b7de-af95c322ff3b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9" dT="2023-07-28T11:14:29.86" personId="{4CC19016-F53E-4336-A25D-BA604EF59FD6}" id="{F3E6C692-08E8-4B02-88EB-1D3C25D4708A}">
    <text>Korrigeeritud</text>
  </threadedComment>
  <threadedComment ref="G19" dT="2023-07-28T11:14:29.86" personId="{4CC19016-F53E-4336-A25D-BA604EF59FD6}" id="{E47E582C-AD1D-44AB-9575-86F101C09EE3}">
    <text>Korrigeeritud</text>
  </threadedComment>
  <threadedComment ref="F61" dT="2023-07-28T11:14:29.86" personId="{4CC19016-F53E-4336-A25D-BA604EF59FD6}" id="{E3372472-4BDD-4772-91ED-EE09A8C414B3}">
    <text>Korrigeeritud</text>
  </threadedComment>
  <threadedComment ref="G61" dT="2023-07-28T11:14:29.86" personId="{4CC19016-F53E-4336-A25D-BA604EF59FD6}" id="{9316B7DE-7E32-41F2-8E46-C4E0897C1F5C}">
    <text>Korrigeeritud</text>
  </threadedComment>
  <threadedComment ref="F82" dT="2023-07-28T11:14:29.86" personId="{4CC19016-F53E-4336-A25D-BA604EF59FD6}" id="{91435743-6AC0-4E56-9301-A093DF904185}">
    <text>Korrigeeritud</text>
  </threadedComment>
  <threadedComment ref="G82" dT="2023-07-28T11:14:29.86" personId="{4CC19016-F53E-4336-A25D-BA604EF59FD6}" id="{19DFF135-6490-4C3A-90C8-53756A9DF119}">
    <text>Korrigeeritud</text>
  </threadedComment>
  <threadedComment ref="L148" dT="2023-10-30T09:03:41.26" personId="{4CC19016-F53E-4336-A25D-BA604EF59FD6}" id="{E0F18BF9-326B-4EDC-90E0-9206B0228F82}">
    <text>Valdmäe+Kokasauna KOVEKi kliendid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3" dT="2023-07-26T21:16:22.93" personId="{4CC19016-F53E-4336-A25D-BA604EF59FD6}" id="{0E57D95A-3DE7-44D5-9A3F-03B51183FA49}">
    <text>RKA taotlusest</text>
  </threadedComment>
  <threadedComment ref="H63" dT="2023-07-26T21:00:05.36" personId="{4CC19016-F53E-4336-A25D-BA604EF59FD6}" id="{912E7E47-F8BF-49DD-A8ED-0FD2E99C6349}">
    <text>199 in, kui võtta hinnang keskmise ühiktarbimise (88 l/d) alusel eelmise aasta müügimahtude järgi.</text>
  </threadedComment>
  <threadedComment ref="H65" dT="2023-07-26T21:01:52.67" personId="{4CC19016-F53E-4336-A25D-BA604EF59FD6}" id="{E4DACBCD-D51C-4CFD-85BB-BF327E314749}">
    <text>Vana ÜVKA andmed</text>
  </threadedComment>
  <threadedComment ref="A74" dT="2023-02-09T07:44:17.73" personId="{1E32B1DC-A5DC-4407-B505-E8E52B0820BA}" id="{286D5791-FB67-4414-9C39-11905413A52B}">
    <text>01.01.2023</text>
  </threadedComment>
  <threadedComment ref="X80" dT="2023-07-28T08:16:39.26" personId="{4CC19016-F53E-4336-A25D-BA604EF59FD6}" id="{25B71F4E-5266-4E30-BE59-95E71EBBE26A}">
    <text>Veel liitumata kinnistute hulgast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8" dT="2023-10-16T07:03:48.17" personId="{4CC19016-F53E-4336-A25D-BA604EF59FD6}" id="{220C853F-38A6-4012-9481-B52ACC09896F}">
    <text>Maja vundamendist kaugemale toomine</text>
  </threadedComment>
  <threadedComment ref="H39" dT="2023-10-17T06:41:07.71" personId="{4CC19016-F53E-4336-A25D-BA604EF59FD6}" id="{99D4D81E-B458-4192-BB90-70A3EE60AA45}">
    <text>350€ (Terrati hinnang) + 4 siibrisõlme</text>
  </threadedComment>
  <threadedComment ref="E182" dT="2024-04-25T06:14:55.38" personId="{4CC19016-F53E-4336-A25D-BA604EF59FD6}" id="{B63D304C-D8F7-4B34-BF72-98F85BA10483}">
    <text>100% liitumistasudest</text>
  </threadedComment>
  <threadedComment ref="G252" dT="2023-09-18T06:47:30.70" personId="{4CC19016-F53E-4336-A25D-BA604EF59FD6}" id="{392C2C4D-9B28-4F4E-B10B-6B702CAB73C0}">
    <text>2x1615+630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R19" dT="2023-09-19T06:23:47.69" personId="{4CC19016-F53E-4336-A25D-BA604EF59FD6}" id="{76069402-1BAA-43B2-8DCC-DF541CC073EA}">
    <text>hinnaguliselt ol.ol vooluhulgad vs tehnopargi lähiümbrusest lisanduvad mahud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H104" dT="2023-10-26T10:08:52.12" personId="{4CC19016-F53E-4336-A25D-BA604EF59FD6}" id="{D1DFBC45-1EB9-492D-A191-16C78D7AC557}">
    <text>Tänassilma tehnopargi ühtlustusmahuti+torustikud - ca 50% liitumistasudest.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7847-B88D-4CBB-97FD-61E994C1B680}">
  <dimension ref="A1:M63"/>
  <sheetViews>
    <sheetView zoomScaleNormal="100" workbookViewId="0">
      <selection activeCell="J7" sqref="J7"/>
    </sheetView>
  </sheetViews>
  <sheetFormatPr defaultRowHeight="14.5" x14ac:dyDescent="0.35"/>
  <cols>
    <col min="1" max="1" width="47" customWidth="1"/>
    <col min="3" max="3" width="11.1796875" bestFit="1" customWidth="1"/>
    <col min="5" max="5" width="11.54296875" customWidth="1"/>
  </cols>
  <sheetData>
    <row r="1" spans="1:7" x14ac:dyDescent="0.35">
      <c r="A1" s="451" t="s">
        <v>13</v>
      </c>
      <c r="B1" s="451" t="s">
        <v>1</v>
      </c>
      <c r="C1" s="451" t="s">
        <v>660</v>
      </c>
      <c r="E1" s="455" t="s">
        <v>668</v>
      </c>
      <c r="F1" s="456">
        <v>0.15</v>
      </c>
    </row>
    <row r="2" spans="1:7" x14ac:dyDescent="0.35">
      <c r="A2" s="452" t="s">
        <v>661</v>
      </c>
      <c r="B2" s="453" t="s">
        <v>9</v>
      </c>
      <c r="C2" s="453">
        <v>130</v>
      </c>
    </row>
    <row r="3" spans="1:7" x14ac:dyDescent="0.35">
      <c r="A3" s="454" t="s">
        <v>662</v>
      </c>
      <c r="B3" s="453" t="s">
        <v>9</v>
      </c>
      <c r="C3" s="453">
        <v>80</v>
      </c>
    </row>
    <row r="4" spans="1:7" x14ac:dyDescent="0.35">
      <c r="A4" s="452" t="s">
        <v>663</v>
      </c>
      <c r="B4" s="453" t="s">
        <v>9</v>
      </c>
      <c r="C4" s="453">
        <v>160</v>
      </c>
    </row>
    <row r="5" spans="1:7" x14ac:dyDescent="0.35">
      <c r="A5" s="452" t="s">
        <v>664</v>
      </c>
      <c r="B5" s="453" t="s">
        <v>9</v>
      </c>
      <c r="C5" s="453">
        <v>130</v>
      </c>
    </row>
    <row r="6" spans="1:7" x14ac:dyDescent="0.35">
      <c r="A6" s="452" t="s">
        <v>725</v>
      </c>
      <c r="B6" s="453" t="s">
        <v>9</v>
      </c>
      <c r="C6" s="453">
        <v>170</v>
      </c>
    </row>
    <row r="7" spans="1:7" x14ac:dyDescent="0.35">
      <c r="A7" s="452" t="s">
        <v>665</v>
      </c>
      <c r="B7" s="453" t="s">
        <v>585</v>
      </c>
      <c r="C7" s="453">
        <v>25000</v>
      </c>
    </row>
    <row r="8" spans="1:7" x14ac:dyDescent="0.35">
      <c r="A8" s="452" t="s">
        <v>666</v>
      </c>
      <c r="B8" s="453" t="s">
        <v>585</v>
      </c>
      <c r="C8" s="453">
        <v>35000</v>
      </c>
    </row>
    <row r="9" spans="1:7" x14ac:dyDescent="0.35">
      <c r="A9" s="452" t="s">
        <v>667</v>
      </c>
      <c r="B9" s="453" t="s">
        <v>585</v>
      </c>
      <c r="C9" s="453">
        <v>75000</v>
      </c>
    </row>
    <row r="10" spans="1:7" x14ac:dyDescent="0.35">
      <c r="A10" s="452" t="s">
        <v>806</v>
      </c>
      <c r="B10" s="453" t="s">
        <v>585</v>
      </c>
      <c r="C10" s="453">
        <v>10000</v>
      </c>
    </row>
    <row r="11" spans="1:7" x14ac:dyDescent="0.35">
      <c r="A11" s="452" t="s">
        <v>704</v>
      </c>
      <c r="B11" s="453" t="s">
        <v>5</v>
      </c>
      <c r="C11" s="453">
        <v>350</v>
      </c>
    </row>
    <row r="12" spans="1:7" x14ac:dyDescent="0.35">
      <c r="A12" s="452" t="s">
        <v>705</v>
      </c>
      <c r="B12" s="453" t="s">
        <v>5</v>
      </c>
      <c r="C12" s="453">
        <v>350</v>
      </c>
    </row>
    <row r="14" spans="1:7" x14ac:dyDescent="0.35">
      <c r="A14" s="457"/>
      <c r="B14" s="458"/>
      <c r="C14" s="459">
        <v>250</v>
      </c>
      <c r="D14" s="133">
        <v>500</v>
      </c>
      <c r="E14" s="133">
        <v>1000</v>
      </c>
    </row>
    <row r="15" spans="1:7" x14ac:dyDescent="0.35">
      <c r="A15" s="452" t="s">
        <v>669</v>
      </c>
      <c r="B15" s="453" t="s">
        <v>585</v>
      </c>
      <c r="C15" s="453">
        <f>50%*D15</f>
        <v>70250</v>
      </c>
      <c r="D15" s="453">
        <f>50%*E15</f>
        <v>140500</v>
      </c>
      <c r="E15" s="453">
        <f>MROUND([1]Männiku!E18*1.3*1000/1250,1000)</f>
        <v>281000</v>
      </c>
      <c r="F15" s="460">
        <f>E15/1250</f>
        <v>224.8</v>
      </c>
      <c r="G15" t="s">
        <v>46</v>
      </c>
    </row>
    <row r="16" spans="1:7" x14ac:dyDescent="0.35">
      <c r="A16" s="452" t="s">
        <v>670</v>
      </c>
      <c r="B16" s="453" t="s">
        <v>585</v>
      </c>
      <c r="C16" s="453">
        <f>E16</f>
        <v>75000</v>
      </c>
      <c r="D16" s="453">
        <f>E16</f>
        <v>75000</v>
      </c>
      <c r="E16" s="453">
        <f>MROUND([1]Männiku!E19,1000)</f>
        <v>75000</v>
      </c>
      <c r="F16" s="460">
        <f>E16/1250</f>
        <v>60</v>
      </c>
      <c r="G16" t="s">
        <v>46</v>
      </c>
    </row>
    <row r="17" spans="1:7" x14ac:dyDescent="0.35">
      <c r="A17" s="452" t="s">
        <v>671</v>
      </c>
      <c r="B17" s="453" t="s">
        <v>585</v>
      </c>
      <c r="C17" s="453">
        <f>E17</f>
        <v>40000</v>
      </c>
      <c r="D17" s="453">
        <f>E17</f>
        <v>40000</v>
      </c>
      <c r="E17" s="453">
        <v>40000</v>
      </c>
    </row>
    <row r="18" spans="1:7" x14ac:dyDescent="0.35">
      <c r="C18" s="194">
        <f>SUM(C15:C17)</f>
        <v>185250</v>
      </c>
      <c r="D18" s="194">
        <f t="shared" ref="D18:E18" si="0">SUM(D15:D17)</f>
        <v>255500</v>
      </c>
      <c r="E18" s="194">
        <f t="shared" si="0"/>
        <v>396000</v>
      </c>
    </row>
    <row r="19" spans="1:7" x14ac:dyDescent="0.35">
      <c r="A19" s="457"/>
      <c r="B19" s="458"/>
      <c r="C19" s="458"/>
    </row>
    <row r="20" spans="1:7" x14ac:dyDescent="0.35">
      <c r="A20" s="457"/>
      <c r="B20" s="458"/>
      <c r="C20" s="458" t="s">
        <v>640</v>
      </c>
    </row>
    <row r="21" spans="1:7" x14ac:dyDescent="0.35">
      <c r="A21" s="457" t="s">
        <v>672</v>
      </c>
      <c r="B21" s="133">
        <v>350</v>
      </c>
      <c r="C21" s="133">
        <v>700</v>
      </c>
      <c r="D21" s="133">
        <v>900</v>
      </c>
      <c r="E21" s="459">
        <v>1200</v>
      </c>
      <c r="F21" s="133">
        <v>1600</v>
      </c>
      <c r="G21" s="459">
        <v>1900</v>
      </c>
    </row>
    <row r="22" spans="1:7" x14ac:dyDescent="0.35">
      <c r="A22" s="461" t="s">
        <v>673</v>
      </c>
      <c r="B22" s="462">
        <v>35000</v>
      </c>
      <c r="C22" s="462">
        <v>35000</v>
      </c>
      <c r="D22" s="462">
        <v>75000</v>
      </c>
      <c r="E22" s="463">
        <v>75000</v>
      </c>
      <c r="F22" s="462">
        <v>75000</v>
      </c>
      <c r="G22" s="463">
        <v>75000</v>
      </c>
    </row>
    <row r="23" spans="1:7" x14ac:dyDescent="0.35">
      <c r="A23" s="461" t="s">
        <v>674</v>
      </c>
      <c r="B23" s="464">
        <f>MROUND(130182*LN(B21)-657888,1000)</f>
        <v>105000</v>
      </c>
      <c r="C23" s="463">
        <v>195000</v>
      </c>
      <c r="D23" s="464">
        <f>MROUND(130182*LN(D21)-657888,1000)</f>
        <v>228000</v>
      </c>
      <c r="E23" s="463">
        <v>265000</v>
      </c>
      <c r="F23" s="464">
        <f>MROUND(130182*LN(F21)-657888,1000)</f>
        <v>303000</v>
      </c>
      <c r="G23" s="463">
        <v>325000</v>
      </c>
    </row>
    <row r="24" spans="1:7" x14ac:dyDescent="0.35">
      <c r="A24" s="465" t="s">
        <v>675</v>
      </c>
      <c r="B24" s="464">
        <f>MROUND(107170*LN(B21)-542008,1000)</f>
        <v>86000</v>
      </c>
      <c r="C24" s="463">
        <v>160000</v>
      </c>
      <c r="D24" s="464">
        <f>MROUND(107170*LN(D21)-542008,1000)</f>
        <v>187000</v>
      </c>
      <c r="E24" s="463">
        <v>218000</v>
      </c>
      <c r="F24" s="464">
        <f>MROUND(107170*LN(F21)-542008,1000)</f>
        <v>249000</v>
      </c>
      <c r="G24" s="463">
        <v>267000</v>
      </c>
    </row>
    <row r="25" spans="1:7" x14ac:dyDescent="0.35">
      <c r="A25" s="465" t="s">
        <v>676</v>
      </c>
      <c r="B25" s="464">
        <f>MROUND(24038*LN(B21)-121459,1000)</f>
        <v>19000</v>
      </c>
      <c r="C25" s="463">
        <v>36000</v>
      </c>
      <c r="D25" s="464">
        <f>MROUND(24038*LN(D21)-121459,1000)</f>
        <v>42000</v>
      </c>
      <c r="E25" s="463">
        <v>49000</v>
      </c>
      <c r="F25" s="464">
        <f>MROUND(24038*LN(F21)-121459,1000)</f>
        <v>56000</v>
      </c>
      <c r="G25" s="463">
        <v>60000</v>
      </c>
    </row>
    <row r="26" spans="1:7" x14ac:dyDescent="0.35">
      <c r="A26" s="461" t="s">
        <v>677</v>
      </c>
      <c r="B26" s="462">
        <v>65000</v>
      </c>
      <c r="C26" s="463">
        <v>65000</v>
      </c>
      <c r="D26" s="462">
        <v>65000</v>
      </c>
      <c r="E26" s="463">
        <v>70000</v>
      </c>
      <c r="F26" s="462">
        <v>65000</v>
      </c>
      <c r="G26" s="463">
        <v>75000</v>
      </c>
    </row>
    <row r="27" spans="1:7" x14ac:dyDescent="0.35">
      <c r="A27" s="461" t="s">
        <v>678</v>
      </c>
      <c r="B27" s="462">
        <v>15000</v>
      </c>
      <c r="C27" s="463">
        <v>20000</v>
      </c>
      <c r="D27" s="462">
        <v>20000</v>
      </c>
      <c r="E27" s="463">
        <v>20000</v>
      </c>
      <c r="F27" s="462">
        <v>20000</v>
      </c>
      <c r="G27" s="463">
        <v>20000</v>
      </c>
    </row>
    <row r="28" spans="1:7" x14ac:dyDescent="0.35">
      <c r="A28" s="461" t="s">
        <v>679</v>
      </c>
      <c r="B28" s="462">
        <v>45000</v>
      </c>
      <c r="C28" s="463">
        <v>50000</v>
      </c>
      <c r="D28" s="462">
        <v>55000</v>
      </c>
      <c r="E28" s="463">
        <v>60000</v>
      </c>
      <c r="F28" s="462">
        <v>60000</v>
      </c>
      <c r="G28" s="463">
        <v>70000</v>
      </c>
    </row>
    <row r="29" spans="1:7" x14ac:dyDescent="0.35">
      <c r="A29" s="466" t="s">
        <v>680</v>
      </c>
      <c r="B29" s="462">
        <v>45000</v>
      </c>
      <c r="C29" s="463">
        <v>45000</v>
      </c>
      <c r="D29" s="462">
        <v>45000</v>
      </c>
      <c r="E29" s="463">
        <v>50000</v>
      </c>
      <c r="F29" s="462">
        <v>50000</v>
      </c>
      <c r="G29" s="463">
        <v>55000</v>
      </c>
    </row>
    <row r="30" spans="1:7" x14ac:dyDescent="0.35">
      <c r="A30" s="461" t="s">
        <v>681</v>
      </c>
      <c r="B30" s="467">
        <v>5000</v>
      </c>
      <c r="C30" s="468">
        <v>5000</v>
      </c>
      <c r="D30" s="467">
        <v>5000</v>
      </c>
      <c r="E30" s="468">
        <v>7000</v>
      </c>
      <c r="F30" s="467">
        <v>7000</v>
      </c>
      <c r="G30" s="468">
        <v>9000</v>
      </c>
    </row>
    <row r="31" spans="1:7" x14ac:dyDescent="0.35">
      <c r="B31" s="194">
        <f>SUM(B22:B30)</f>
        <v>420000</v>
      </c>
      <c r="C31" s="194">
        <f>SUM(C22:C30)</f>
        <v>611000</v>
      </c>
      <c r="D31" s="194">
        <f>SUM(D22:D30)</f>
        <v>722000</v>
      </c>
      <c r="E31" s="194">
        <f t="shared" ref="E31:F31" si="1">SUM(E22:E30)</f>
        <v>814000</v>
      </c>
      <c r="F31" s="194">
        <f t="shared" si="1"/>
        <v>885000</v>
      </c>
      <c r="G31" s="194">
        <f>SUM(G22:G30)</f>
        <v>956000</v>
      </c>
    </row>
    <row r="32" spans="1:7" x14ac:dyDescent="0.35">
      <c r="C32" t="s">
        <v>438</v>
      </c>
      <c r="D32" t="s">
        <v>274</v>
      </c>
      <c r="E32" t="s">
        <v>433</v>
      </c>
      <c r="F32" t="s">
        <v>437</v>
      </c>
      <c r="G32" t="s">
        <v>438</v>
      </c>
    </row>
    <row r="33" spans="1:13" x14ac:dyDescent="0.35">
      <c r="A33" s="457" t="s">
        <v>682</v>
      </c>
      <c r="B33" s="133">
        <v>35</v>
      </c>
      <c r="C33" s="133">
        <v>100</v>
      </c>
      <c r="D33" s="133">
        <v>125</v>
      </c>
      <c r="E33" s="133">
        <v>150</v>
      </c>
      <c r="F33" s="133">
        <v>200</v>
      </c>
      <c r="G33" s="133">
        <v>300</v>
      </c>
    </row>
    <row r="34" spans="1:13" x14ac:dyDescent="0.35">
      <c r="A34" s="461" t="s">
        <v>683</v>
      </c>
      <c r="B34" s="462">
        <v>0</v>
      </c>
      <c r="C34" s="462">
        <v>25000</v>
      </c>
      <c r="D34" s="462">
        <v>35000</v>
      </c>
      <c r="E34" s="462">
        <v>35000</v>
      </c>
      <c r="F34" s="462">
        <v>35000</v>
      </c>
      <c r="G34" s="462">
        <v>35000</v>
      </c>
    </row>
    <row r="35" spans="1:13" x14ac:dyDescent="0.35">
      <c r="A35" s="461" t="s">
        <v>684</v>
      </c>
      <c r="B35" s="462">
        <v>3000</v>
      </c>
      <c r="C35" s="462">
        <v>3000</v>
      </c>
      <c r="D35" s="462">
        <v>3000</v>
      </c>
      <c r="E35" s="462">
        <v>3000</v>
      </c>
      <c r="F35" s="462">
        <v>3000</v>
      </c>
      <c r="G35" s="462">
        <v>3000</v>
      </c>
    </row>
    <row r="36" spans="1:13" x14ac:dyDescent="0.35">
      <c r="A36" s="465" t="s">
        <v>685</v>
      </c>
      <c r="B36" s="462">
        <v>0</v>
      </c>
      <c r="C36" s="462">
        <v>50000</v>
      </c>
      <c r="D36" s="462">
        <v>55000</v>
      </c>
      <c r="E36" s="462">
        <v>60000</v>
      </c>
      <c r="F36" s="462">
        <v>65000</v>
      </c>
      <c r="G36" s="462">
        <v>70000</v>
      </c>
    </row>
    <row r="37" spans="1:13" x14ac:dyDescent="0.35">
      <c r="A37" s="465" t="s">
        <v>686</v>
      </c>
      <c r="B37" s="462">
        <v>45000</v>
      </c>
      <c r="C37" s="462">
        <v>55000</v>
      </c>
      <c r="D37" s="462">
        <v>65000</v>
      </c>
      <c r="E37" s="462">
        <v>75000</v>
      </c>
      <c r="F37" s="462">
        <v>90000</v>
      </c>
      <c r="G37" s="462">
        <v>100000</v>
      </c>
    </row>
    <row r="38" spans="1:13" x14ac:dyDescent="0.35">
      <c r="A38" s="461" t="s">
        <v>687</v>
      </c>
      <c r="B38" s="462">
        <v>50000</v>
      </c>
      <c r="C38" s="462">
        <v>50000</v>
      </c>
      <c r="D38" s="462">
        <v>50000</v>
      </c>
      <c r="E38" s="462">
        <v>60000</v>
      </c>
      <c r="F38" s="462">
        <v>65000</v>
      </c>
      <c r="G38" s="462">
        <v>65000</v>
      </c>
    </row>
    <row r="39" spans="1:13" x14ac:dyDescent="0.35">
      <c r="A39" s="461" t="s">
        <v>678</v>
      </c>
      <c r="B39" s="462">
        <v>10000</v>
      </c>
      <c r="C39" s="462">
        <v>10000</v>
      </c>
      <c r="D39" s="462">
        <v>15000</v>
      </c>
      <c r="E39" s="462">
        <v>15000</v>
      </c>
      <c r="F39" s="462">
        <v>15000</v>
      </c>
      <c r="G39" s="462">
        <v>15000</v>
      </c>
    </row>
    <row r="40" spans="1:13" x14ac:dyDescent="0.35">
      <c r="A40" s="461" t="s">
        <v>679</v>
      </c>
      <c r="B40" s="462">
        <v>0</v>
      </c>
      <c r="C40" s="462">
        <v>20000</v>
      </c>
      <c r="D40" s="462">
        <v>25000</v>
      </c>
      <c r="E40" s="462">
        <v>30000</v>
      </c>
      <c r="F40" s="462">
        <v>35000</v>
      </c>
      <c r="G40" s="462">
        <v>40000</v>
      </c>
    </row>
    <row r="41" spans="1:13" x14ac:dyDescent="0.35">
      <c r="A41" s="466" t="s">
        <v>680</v>
      </c>
      <c r="B41" s="462">
        <v>25000</v>
      </c>
      <c r="C41" s="462">
        <v>35000</v>
      </c>
      <c r="D41" s="462">
        <v>35000</v>
      </c>
      <c r="E41" s="462">
        <v>40000</v>
      </c>
      <c r="F41" s="462">
        <v>40000</v>
      </c>
      <c r="G41" s="462">
        <v>50000</v>
      </c>
    </row>
    <row r="42" spans="1:13" x14ac:dyDescent="0.35">
      <c r="A42" s="461" t="s">
        <v>681</v>
      </c>
      <c r="B42" s="467">
        <v>5000</v>
      </c>
      <c r="C42" s="467">
        <v>5000</v>
      </c>
      <c r="D42" s="467">
        <v>5000</v>
      </c>
      <c r="E42" s="467">
        <v>5000</v>
      </c>
      <c r="F42" s="467">
        <v>5000</v>
      </c>
      <c r="G42" s="467">
        <v>5000</v>
      </c>
    </row>
    <row r="43" spans="1:13" x14ac:dyDescent="0.35">
      <c r="A43" s="469" t="s">
        <v>12</v>
      </c>
      <c r="B43" s="470">
        <f>SUM(B34:B42)</f>
        <v>138000</v>
      </c>
      <c r="C43" s="470">
        <f>SUM(C34:C42)</f>
        <v>253000</v>
      </c>
      <c r="D43" s="470">
        <f>SUM(D34:D42)</f>
        <v>288000</v>
      </c>
      <c r="E43" s="470">
        <f t="shared" ref="E43:G43" si="2">SUM(E34:E42)</f>
        <v>323000</v>
      </c>
      <c r="F43" s="470">
        <f t="shared" si="2"/>
        <v>353000</v>
      </c>
      <c r="G43" s="470">
        <f t="shared" si="2"/>
        <v>383000</v>
      </c>
    </row>
    <row r="44" spans="1:13" ht="29" x14ac:dyDescent="0.35">
      <c r="A44" s="471" t="s">
        <v>688</v>
      </c>
      <c r="B44" s="472" t="s">
        <v>486</v>
      </c>
      <c r="C44" s="472" t="s">
        <v>689</v>
      </c>
      <c r="D44" s="472" t="s">
        <v>274</v>
      </c>
      <c r="E44" s="472" t="s">
        <v>433</v>
      </c>
      <c r="F44" s="472" t="s">
        <v>1026</v>
      </c>
      <c r="G44" s="472" t="s">
        <v>1025</v>
      </c>
      <c r="H44" s="473" t="s">
        <v>462</v>
      </c>
      <c r="I44" s="473" t="s">
        <v>690</v>
      </c>
      <c r="J44" s="473" t="s">
        <v>484</v>
      </c>
      <c r="K44" s="473" t="s">
        <v>483</v>
      </c>
      <c r="L44" s="473" t="s">
        <v>691</v>
      </c>
      <c r="M44" s="473" t="s">
        <v>692</v>
      </c>
    </row>
    <row r="45" spans="1:13" x14ac:dyDescent="0.35">
      <c r="A45" s="474" t="s">
        <v>693</v>
      </c>
      <c r="B45" s="2">
        <v>2</v>
      </c>
      <c r="C45" s="2">
        <v>2.2999999999999998</v>
      </c>
      <c r="D45" s="2">
        <v>6.6</v>
      </c>
      <c r="E45">
        <v>11</v>
      </c>
      <c r="F45" s="508">
        <v>20</v>
      </c>
      <c r="G45" s="508">
        <v>20</v>
      </c>
      <c r="H45">
        <v>29.1</v>
      </c>
      <c r="I45">
        <v>40.5</v>
      </c>
      <c r="J45">
        <v>42.9</v>
      </c>
      <c r="K45">
        <v>53.9</v>
      </c>
      <c r="L45">
        <f>C45+E45+H45+I45</f>
        <v>82.9</v>
      </c>
      <c r="M45">
        <f>J45+K45</f>
        <v>96.8</v>
      </c>
    </row>
    <row r="46" spans="1:13" x14ac:dyDescent="0.35">
      <c r="A46" s="475" t="s">
        <v>694</v>
      </c>
      <c r="B46" s="4">
        <v>0</v>
      </c>
      <c r="C46" s="4">
        <v>2000</v>
      </c>
      <c r="D46" s="4">
        <v>0</v>
      </c>
      <c r="E46" s="509">
        <v>2000</v>
      </c>
      <c r="F46" s="1">
        <v>0</v>
      </c>
      <c r="G46" s="1">
        <v>0</v>
      </c>
      <c r="H46" s="4">
        <v>0</v>
      </c>
      <c r="I46" s="4">
        <v>2000</v>
      </c>
      <c r="J46" s="4">
        <v>0</v>
      </c>
      <c r="K46" s="4">
        <v>0</v>
      </c>
      <c r="L46" s="4">
        <v>0</v>
      </c>
      <c r="M46" s="4">
        <v>0</v>
      </c>
    </row>
    <row r="47" spans="1:13" x14ac:dyDescent="0.35">
      <c r="A47" s="475" t="s">
        <v>695</v>
      </c>
      <c r="B47" s="4">
        <f>$H$47</f>
        <v>45000</v>
      </c>
      <c r="C47" s="1">
        <v>0</v>
      </c>
      <c r="D47" s="4">
        <f>$H$47</f>
        <v>45000</v>
      </c>
      <c r="E47">
        <v>0</v>
      </c>
      <c r="F47" s="4">
        <f>$H$47</f>
        <v>45000</v>
      </c>
      <c r="G47" s="4">
        <f>$H$47</f>
        <v>45000</v>
      </c>
      <c r="H47" s="476">
        <f>MROUND('[1]PRK-Balrock'!D11,1000)</f>
        <v>45000</v>
      </c>
      <c r="I47" s="4">
        <v>0</v>
      </c>
      <c r="J47" s="476">
        <v>45000</v>
      </c>
      <c r="K47" s="4">
        <f>$H$47</f>
        <v>45000</v>
      </c>
      <c r="L47" s="4">
        <f>$H$47</f>
        <v>45000</v>
      </c>
      <c r="M47" s="4">
        <f>$H$47</f>
        <v>45000</v>
      </c>
    </row>
    <row r="48" spans="1:13" x14ac:dyDescent="0.35">
      <c r="A48" s="475" t="s">
        <v>696</v>
      </c>
      <c r="B48" s="3">
        <v>25000</v>
      </c>
      <c r="C48" s="3">
        <v>25000</v>
      </c>
      <c r="D48" s="3">
        <v>30000</v>
      </c>
      <c r="E48" s="510">
        <v>0</v>
      </c>
      <c r="F48" s="4">
        <v>35000</v>
      </c>
      <c r="G48" s="4">
        <v>35000</v>
      </c>
      <c r="H48" s="476">
        <f>MROUND('[1]VTJ-TREV2'!E42/2*1.3,1000)</f>
        <v>39000</v>
      </c>
      <c r="I48" s="478">
        <f>MROUND(5516.5*LN(I45)+20405,1000)</f>
        <v>41000</v>
      </c>
      <c r="J48" s="477">
        <f>I48</f>
        <v>41000</v>
      </c>
      <c r="K48" s="478">
        <f>MROUND(5516.5*LN(K45)+20405,1000)</f>
        <v>42000</v>
      </c>
      <c r="L48" s="477">
        <f>M48</f>
        <v>46000</v>
      </c>
      <c r="M48" s="478">
        <f t="shared" ref="M48" si="3">MROUND(5516.5*LN(M45)+20405,1000)</f>
        <v>46000</v>
      </c>
    </row>
    <row r="49" spans="1:13" x14ac:dyDescent="0.35">
      <c r="A49" s="475" t="s">
        <v>697</v>
      </c>
      <c r="B49" s="4">
        <v>10000</v>
      </c>
      <c r="C49" s="4">
        <v>10000</v>
      </c>
      <c r="D49" s="4">
        <v>10000</v>
      </c>
      <c r="E49" s="510">
        <v>0</v>
      </c>
      <c r="F49" s="4">
        <v>15000</v>
      </c>
      <c r="G49" s="4">
        <v>15000</v>
      </c>
      <c r="H49" s="478">
        <f t="shared" ref="H49:J49" si="4">MROUND(8153.5*(H45^0.2417),1000)</f>
        <v>18000</v>
      </c>
      <c r="I49" s="478">
        <f t="shared" si="4"/>
        <v>20000</v>
      </c>
      <c r="J49" s="478">
        <f t="shared" si="4"/>
        <v>20000</v>
      </c>
      <c r="K49" s="4">
        <v>21000</v>
      </c>
      <c r="L49" s="4">
        <v>25000</v>
      </c>
      <c r="M49" s="4">
        <v>25000</v>
      </c>
    </row>
    <row r="50" spans="1:13" x14ac:dyDescent="0.35">
      <c r="A50" s="475" t="s">
        <v>698</v>
      </c>
      <c r="B50" s="4">
        <v>0</v>
      </c>
      <c r="C50" s="4">
        <v>0</v>
      </c>
      <c r="D50" s="4">
        <v>0</v>
      </c>
      <c r="E50" s="511">
        <f>MROUND(35692*LN(E45)-2306.9,1000)</f>
        <v>83000</v>
      </c>
      <c r="F50" s="4">
        <f>G50</f>
        <v>118000</v>
      </c>
      <c r="G50" s="4">
        <f>H50</f>
        <v>118000</v>
      </c>
      <c r="H50" s="476">
        <f>MROUND(1.3*('[1]VTJ-TREV2'!E45+'[1]VTJ-TREV2'!E46+50%*'[1]VTJ-TREV2'!E49),1000)</f>
        <v>118000</v>
      </c>
      <c r="I50" s="478">
        <f>MROUND(21014*LN(I45)+47166,1000)</f>
        <v>125000</v>
      </c>
      <c r="J50" s="477">
        <f>I50</f>
        <v>125000</v>
      </c>
      <c r="K50" s="477">
        <f>J50</f>
        <v>125000</v>
      </c>
      <c r="L50" s="476">
        <f>MROUND('[1]VTJ-Kungla'!O19+'[1]VTJ-Kungla'!O20,1000)</f>
        <v>140000</v>
      </c>
      <c r="M50" s="4">
        <f>$L50</f>
        <v>140000</v>
      </c>
    </row>
    <row r="51" spans="1:13" x14ac:dyDescent="0.35">
      <c r="A51" s="475" t="s">
        <v>699</v>
      </c>
      <c r="B51" s="477">
        <v>0</v>
      </c>
      <c r="C51" s="477">
        <f>E51</f>
        <v>6000</v>
      </c>
      <c r="D51" s="477">
        <v>6000</v>
      </c>
      <c r="E51" s="511">
        <f>MROUND(E45/H45*H51,1000)</f>
        <v>6000</v>
      </c>
      <c r="F51" s="4">
        <v>10000</v>
      </c>
      <c r="G51" s="4">
        <v>10000</v>
      </c>
      <c r="H51" s="476">
        <f>MROUND('[1]VTJ-TREV2'!E47*1.3,1000)</f>
        <v>17000</v>
      </c>
      <c r="I51" s="478">
        <f>MROUND(12979*LN(I45)-26748,1000)</f>
        <v>21000</v>
      </c>
      <c r="J51" s="477">
        <f>I51</f>
        <v>21000</v>
      </c>
      <c r="K51" s="3">
        <f>J51</f>
        <v>21000</v>
      </c>
      <c r="L51" s="476">
        <f>MROUND('[1]VTJ-Kungla'!K24,1000)</f>
        <v>25000</v>
      </c>
      <c r="M51" s="4">
        <f>$L51</f>
        <v>25000</v>
      </c>
    </row>
    <row r="52" spans="1:13" x14ac:dyDescent="0.35">
      <c r="A52" s="475" t="s">
        <v>680</v>
      </c>
      <c r="B52" s="4">
        <v>25000</v>
      </c>
      <c r="C52" s="4">
        <v>30000</v>
      </c>
      <c r="D52" s="4">
        <v>35000</v>
      </c>
      <c r="E52" s="509">
        <v>35000</v>
      </c>
      <c r="F52" s="4">
        <f>$H$52</f>
        <v>40000</v>
      </c>
      <c r="G52" s="4">
        <f>$H$52</f>
        <v>40000</v>
      </c>
      <c r="H52" s="4">
        <v>40000</v>
      </c>
      <c r="I52" s="4">
        <v>45000</v>
      </c>
      <c r="J52" s="4">
        <v>45000</v>
      </c>
      <c r="K52" s="4">
        <v>45000</v>
      </c>
      <c r="L52" s="4">
        <v>45000</v>
      </c>
      <c r="M52" s="4">
        <v>45000</v>
      </c>
    </row>
    <row r="53" spans="1:13" x14ac:dyDescent="0.35">
      <c r="A53" s="475" t="s">
        <v>679</v>
      </c>
      <c r="B53" s="4">
        <v>30000</v>
      </c>
      <c r="C53" s="4">
        <v>30000</v>
      </c>
      <c r="D53" s="4">
        <v>30000</v>
      </c>
      <c r="E53" s="511">
        <f>MROUND(AVERAGE(C45,H45)/H45*H53,1000)</f>
        <v>33000</v>
      </c>
      <c r="F53" s="4">
        <v>40000</v>
      </c>
      <c r="G53" s="4">
        <v>40000</v>
      </c>
      <c r="H53" s="476">
        <f>MROUND(1.3*50%*'[1]VTJ-TREV2'!E49,1000)</f>
        <v>61000</v>
      </c>
      <c r="I53" s="4">
        <f>MROUND(H53+(L53-H53)*(I45-H45)/(L45-H45),1000)</f>
        <v>72000</v>
      </c>
      <c r="J53" s="4">
        <f>I53</f>
        <v>72000</v>
      </c>
      <c r="K53" s="3">
        <f>J53</f>
        <v>72000</v>
      </c>
      <c r="L53" s="476">
        <f>MROUND('[1]VTJ-Kungla'!O18,1000)</f>
        <v>114000</v>
      </c>
      <c r="M53" s="4">
        <f>$L$53</f>
        <v>114000</v>
      </c>
    </row>
    <row r="54" spans="1:13" x14ac:dyDescent="0.35">
      <c r="A54" s="475" t="s">
        <v>700</v>
      </c>
      <c r="B54" s="4">
        <v>10000</v>
      </c>
      <c r="C54" s="4">
        <v>10000</v>
      </c>
      <c r="D54" s="4">
        <f>E54</f>
        <v>15000</v>
      </c>
      <c r="E54" s="509">
        <v>15000</v>
      </c>
      <c r="F54" s="4">
        <f>$H$54</f>
        <v>15000</v>
      </c>
      <c r="G54" s="4">
        <f>$H$54</f>
        <v>15000</v>
      </c>
      <c r="H54" s="4">
        <v>15000</v>
      </c>
      <c r="I54" s="4">
        <v>20000</v>
      </c>
      <c r="J54" s="4">
        <v>20000</v>
      </c>
      <c r="K54" s="4">
        <v>20000</v>
      </c>
      <c r="L54" s="4">
        <v>20000</v>
      </c>
      <c r="M54" s="4">
        <v>20000</v>
      </c>
    </row>
    <row r="55" spans="1:13" x14ac:dyDescent="0.35">
      <c r="A55" s="479" t="s">
        <v>12</v>
      </c>
      <c r="B55" s="194">
        <f>SUM(B46:B54)</f>
        <v>145000</v>
      </c>
      <c r="C55" s="194">
        <f>SUM(C46:C54)</f>
        <v>113000</v>
      </c>
      <c r="D55" s="194">
        <f>SUM(D46:D54)</f>
        <v>171000</v>
      </c>
      <c r="E55" s="194">
        <f t="shared" ref="E55:G55" si="5">SUM(E46:E54)</f>
        <v>174000</v>
      </c>
      <c r="F55" s="194">
        <f t="shared" si="5"/>
        <v>318000</v>
      </c>
      <c r="G55" s="194">
        <f t="shared" si="5"/>
        <v>318000</v>
      </c>
      <c r="H55" s="194">
        <f t="shared" ref="H55:M55" si="6">SUM(H46:H54)</f>
        <v>353000</v>
      </c>
      <c r="I55" s="194">
        <f t="shared" si="6"/>
        <v>346000</v>
      </c>
      <c r="J55" s="194">
        <f t="shared" si="6"/>
        <v>389000</v>
      </c>
      <c r="K55" s="194">
        <f t="shared" si="6"/>
        <v>391000</v>
      </c>
      <c r="L55" s="194">
        <f t="shared" si="6"/>
        <v>460000</v>
      </c>
      <c r="M55" s="194">
        <f t="shared" si="6"/>
        <v>460000</v>
      </c>
    </row>
    <row r="57" spans="1:13" x14ac:dyDescent="0.35">
      <c r="A57" s="480" t="s">
        <v>701</v>
      </c>
      <c r="B57" s="3">
        <f>B46+B47</f>
        <v>45000</v>
      </c>
      <c r="C57" s="3">
        <f>C46+C47</f>
        <v>2000</v>
      </c>
      <c r="D57" s="3">
        <f>D46+D47</f>
        <v>45000</v>
      </c>
      <c r="E57" s="3">
        <f t="shared" ref="E57" si="7">E46+E47</f>
        <v>2000</v>
      </c>
      <c r="H57" s="3">
        <f t="shared" ref="H57:M57" si="8">H46+H47</f>
        <v>45000</v>
      </c>
      <c r="I57" s="3">
        <f t="shared" si="8"/>
        <v>2000</v>
      </c>
      <c r="J57" s="3">
        <f t="shared" si="8"/>
        <v>45000</v>
      </c>
      <c r="K57" s="3">
        <f t="shared" si="8"/>
        <v>45000</v>
      </c>
      <c r="L57" s="3">
        <f t="shared" si="8"/>
        <v>45000</v>
      </c>
      <c r="M57" s="3">
        <f t="shared" si="8"/>
        <v>45000</v>
      </c>
    </row>
    <row r="58" spans="1:13" x14ac:dyDescent="0.35">
      <c r="A58" s="480" t="s">
        <v>702</v>
      </c>
      <c r="B58" s="3">
        <f>B48+B50+B51</f>
        <v>25000</v>
      </c>
      <c r="C58" s="3">
        <f>C48+C50+C51</f>
        <v>31000</v>
      </c>
      <c r="D58" s="3">
        <f>D48+D50+D51</f>
        <v>36000</v>
      </c>
      <c r="E58" s="3">
        <f t="shared" ref="E58" si="9">E48+E50+E51</f>
        <v>89000</v>
      </c>
      <c r="H58" s="3">
        <f t="shared" ref="H58:M58" si="10">H48+H50+H51</f>
        <v>174000</v>
      </c>
      <c r="I58" s="3">
        <f t="shared" si="10"/>
        <v>187000</v>
      </c>
      <c r="J58" s="3">
        <f t="shared" si="10"/>
        <v>187000</v>
      </c>
      <c r="K58" s="3">
        <f t="shared" si="10"/>
        <v>188000</v>
      </c>
      <c r="L58" s="3">
        <f t="shared" si="10"/>
        <v>211000</v>
      </c>
      <c r="M58" s="3">
        <f t="shared" si="10"/>
        <v>211000</v>
      </c>
    </row>
    <row r="59" spans="1:13" x14ac:dyDescent="0.35">
      <c r="A59" s="480" t="s">
        <v>697</v>
      </c>
      <c r="B59" s="3">
        <f>B49</f>
        <v>10000</v>
      </c>
      <c r="C59" s="3">
        <f>C49</f>
        <v>10000</v>
      </c>
      <c r="D59" s="3">
        <f>D49</f>
        <v>10000</v>
      </c>
      <c r="E59" s="3">
        <f t="shared" ref="E59" si="11">E49</f>
        <v>0</v>
      </c>
      <c r="H59" s="3">
        <f t="shared" ref="H59:M59" si="12">H49</f>
        <v>18000</v>
      </c>
      <c r="I59" s="3">
        <f t="shared" si="12"/>
        <v>20000</v>
      </c>
      <c r="J59" s="3">
        <f t="shared" si="12"/>
        <v>20000</v>
      </c>
      <c r="K59" s="3">
        <f t="shared" si="12"/>
        <v>21000</v>
      </c>
      <c r="L59" s="3">
        <f t="shared" si="12"/>
        <v>25000</v>
      </c>
      <c r="M59" s="3">
        <f t="shared" si="12"/>
        <v>25000</v>
      </c>
    </row>
    <row r="60" spans="1:13" x14ac:dyDescent="0.35">
      <c r="A60" s="480" t="s">
        <v>703</v>
      </c>
      <c r="B60" s="3">
        <f>+B52</f>
        <v>25000</v>
      </c>
      <c r="C60" s="3">
        <f>+C52</f>
        <v>30000</v>
      </c>
      <c r="D60" s="3">
        <f>+D52</f>
        <v>35000</v>
      </c>
      <c r="E60" s="3">
        <f t="shared" ref="E60" si="13">+E52</f>
        <v>35000</v>
      </c>
      <c r="H60" s="3">
        <f t="shared" ref="H60:M60" si="14">+H52</f>
        <v>40000</v>
      </c>
      <c r="I60" s="3">
        <f t="shared" si="14"/>
        <v>45000</v>
      </c>
      <c r="J60" s="3">
        <f t="shared" si="14"/>
        <v>45000</v>
      </c>
      <c r="K60" s="3">
        <f t="shared" si="14"/>
        <v>45000</v>
      </c>
      <c r="L60" s="3">
        <f t="shared" si="14"/>
        <v>45000</v>
      </c>
      <c r="M60" s="3">
        <f t="shared" si="14"/>
        <v>45000</v>
      </c>
    </row>
    <row r="61" spans="1:13" x14ac:dyDescent="0.35">
      <c r="A61" s="480" t="s">
        <v>679</v>
      </c>
      <c r="B61" s="3">
        <f t="shared" ref="B61:D62" si="15">B53</f>
        <v>30000</v>
      </c>
      <c r="C61" s="3">
        <f t="shared" si="15"/>
        <v>30000</v>
      </c>
      <c r="D61" s="3">
        <f t="shared" si="15"/>
        <v>30000</v>
      </c>
      <c r="E61" s="3">
        <f t="shared" ref="E61:E62" si="16">E53</f>
        <v>33000</v>
      </c>
      <c r="H61" s="3">
        <f t="shared" ref="H61:M62" si="17">H53</f>
        <v>61000</v>
      </c>
      <c r="I61" s="3">
        <f t="shared" si="17"/>
        <v>72000</v>
      </c>
      <c r="J61" s="3">
        <f t="shared" si="17"/>
        <v>72000</v>
      </c>
      <c r="K61" s="3">
        <f t="shared" si="17"/>
        <v>72000</v>
      </c>
      <c r="L61" s="3">
        <f t="shared" si="17"/>
        <v>114000</v>
      </c>
      <c r="M61" s="3">
        <f t="shared" si="17"/>
        <v>114000</v>
      </c>
    </row>
    <row r="62" spans="1:13" x14ac:dyDescent="0.35">
      <c r="A62" s="480" t="s">
        <v>700</v>
      </c>
      <c r="B62" s="3">
        <f t="shared" si="15"/>
        <v>10000</v>
      </c>
      <c r="C62" s="3">
        <f t="shared" si="15"/>
        <v>10000</v>
      </c>
      <c r="D62" s="3">
        <f t="shared" si="15"/>
        <v>15000</v>
      </c>
      <c r="E62" s="3">
        <f t="shared" si="16"/>
        <v>15000</v>
      </c>
      <c r="H62" s="3">
        <f t="shared" si="17"/>
        <v>15000</v>
      </c>
      <c r="I62" s="3">
        <f t="shared" si="17"/>
        <v>20000</v>
      </c>
      <c r="J62" s="3">
        <f t="shared" si="17"/>
        <v>20000</v>
      </c>
      <c r="K62" s="3">
        <f t="shared" si="17"/>
        <v>20000</v>
      </c>
      <c r="L62" s="3">
        <f t="shared" si="17"/>
        <v>20000</v>
      </c>
      <c r="M62" s="3">
        <f t="shared" si="17"/>
        <v>20000</v>
      </c>
    </row>
    <row r="63" spans="1:13" x14ac:dyDescent="0.35">
      <c r="B63" s="194">
        <f>SUM(B57:B62)</f>
        <v>145000</v>
      </c>
      <c r="C63" s="194">
        <f>SUM(C57:C62)</f>
        <v>113000</v>
      </c>
      <c r="D63" s="194">
        <f>SUM(D57:D62)</f>
        <v>171000</v>
      </c>
      <c r="E63" s="194">
        <f t="shared" ref="E63" si="18">SUM(E57:E62)</f>
        <v>174000</v>
      </c>
      <c r="H63" s="194">
        <f t="shared" ref="H63:M63" si="19">SUM(H57:H62)</f>
        <v>353000</v>
      </c>
      <c r="I63" s="194">
        <f t="shared" si="19"/>
        <v>346000</v>
      </c>
      <c r="J63" s="194">
        <f t="shared" si="19"/>
        <v>389000</v>
      </c>
      <c r="K63" s="194">
        <f t="shared" si="19"/>
        <v>391000</v>
      </c>
      <c r="L63" s="194">
        <f t="shared" si="19"/>
        <v>460000</v>
      </c>
      <c r="M63" s="194">
        <f t="shared" si="19"/>
        <v>460000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C306-B842-497F-B848-891D44B02A87}">
  <dimension ref="A1:AA16"/>
  <sheetViews>
    <sheetView workbookViewId="0">
      <selection activeCell="O15" sqref="O15"/>
    </sheetView>
  </sheetViews>
  <sheetFormatPr defaultRowHeight="14.5" x14ac:dyDescent="0.35"/>
  <cols>
    <col min="1" max="1" width="18.90625" customWidth="1"/>
    <col min="15" max="15" width="22.54296875" customWidth="1"/>
  </cols>
  <sheetData>
    <row r="1" spans="1:27" x14ac:dyDescent="0.35">
      <c r="A1" s="734" t="s">
        <v>1056</v>
      </c>
      <c r="O1" s="734" t="s">
        <v>1071</v>
      </c>
    </row>
    <row r="2" spans="1:27" x14ac:dyDescent="0.35">
      <c r="A2" s="731" t="s">
        <v>1048</v>
      </c>
      <c r="B2" s="55">
        <v>2024</v>
      </c>
      <c r="C2" s="55">
        <v>2025</v>
      </c>
      <c r="D2" s="55">
        <v>2026</v>
      </c>
      <c r="E2" s="55">
        <v>2027</v>
      </c>
      <c r="F2" s="55">
        <v>2028</v>
      </c>
      <c r="G2" s="55">
        <v>2029</v>
      </c>
      <c r="H2" s="55">
        <v>2030</v>
      </c>
      <c r="I2" s="55">
        <v>2031</v>
      </c>
      <c r="J2" s="55">
        <v>2032</v>
      </c>
      <c r="K2" s="55">
        <v>2033</v>
      </c>
      <c r="L2" s="55">
        <v>2034</v>
      </c>
      <c r="M2" s="55">
        <v>2035</v>
      </c>
      <c r="O2" s="731" t="s">
        <v>1048</v>
      </c>
      <c r="P2" s="55">
        <v>2024</v>
      </c>
      <c r="Q2" s="55">
        <v>2025</v>
      </c>
      <c r="R2" s="55">
        <v>2026</v>
      </c>
      <c r="S2" s="55">
        <v>2027</v>
      </c>
      <c r="T2" s="55">
        <v>2028</v>
      </c>
      <c r="U2" s="55">
        <v>2029</v>
      </c>
      <c r="V2" s="55">
        <v>2030</v>
      </c>
      <c r="W2" s="55">
        <v>2031</v>
      </c>
      <c r="X2" s="55">
        <v>2032</v>
      </c>
      <c r="Y2" s="55">
        <v>2033</v>
      </c>
      <c r="Z2" s="55">
        <v>2034</v>
      </c>
      <c r="AA2" s="55">
        <v>2035</v>
      </c>
    </row>
    <row r="3" spans="1:27" x14ac:dyDescent="0.35">
      <c r="A3" s="733" t="s">
        <v>1055</v>
      </c>
      <c r="B3" s="592">
        <v>910869.17601971328</v>
      </c>
      <c r="C3" s="592">
        <v>996439.25320626691</v>
      </c>
      <c r="D3" s="592">
        <v>1077447.101290843</v>
      </c>
      <c r="E3" s="592">
        <v>1128556.4050323896</v>
      </c>
      <c r="F3" s="592">
        <v>1158163.1804662042</v>
      </c>
      <c r="G3" s="592">
        <v>1188478.7512971037</v>
      </c>
      <c r="H3" s="592">
        <v>1219558.8958800868</v>
      </c>
      <c r="I3" s="592">
        <v>1251429.9193151665</v>
      </c>
      <c r="J3" s="592">
        <v>1284125.7791950856</v>
      </c>
      <c r="K3" s="592">
        <v>1317675.6080162744</v>
      </c>
      <c r="L3" s="592">
        <v>1352135.0860391192</v>
      </c>
      <c r="M3" s="592">
        <v>1387548.6935323984</v>
      </c>
      <c r="O3" s="733" t="s">
        <v>1055</v>
      </c>
      <c r="P3" s="592">
        <f>Veehind!E29</f>
        <v>910869.17601971328</v>
      </c>
      <c r="Q3" s="592">
        <f>Veehind!F29</f>
        <v>996439.25320626691</v>
      </c>
      <c r="R3" s="592">
        <f>Veehind!G29</f>
        <v>1077447.101290843</v>
      </c>
      <c r="S3" s="592">
        <f>Veehind!H29</f>
        <v>1128556.4050323896</v>
      </c>
      <c r="T3" s="592">
        <f>Veehind!I29</f>
        <v>1158163.1804662042</v>
      </c>
      <c r="U3" s="592">
        <f>Veehind!J29</f>
        <v>1188478.7512971037</v>
      </c>
      <c r="V3" s="592">
        <f>Veehind!K29</f>
        <v>1219558.8958800868</v>
      </c>
      <c r="W3" s="592">
        <f>Veehind!L29</f>
        <v>1251429.9193151665</v>
      </c>
      <c r="X3" s="592">
        <f>Veehind!M29</f>
        <v>1284125.7791950856</v>
      </c>
      <c r="Y3" s="592">
        <f>Veehind!N29</f>
        <v>1317675.6080162744</v>
      </c>
      <c r="Z3" s="592">
        <f>Veehind!O29</f>
        <v>1352135.0860391192</v>
      </c>
      <c r="AA3" s="592">
        <f>Veehind!P29</f>
        <v>1387548.6935323984</v>
      </c>
    </row>
    <row r="4" spans="1:27" x14ac:dyDescent="0.35">
      <c r="A4" s="731" t="s">
        <v>1050</v>
      </c>
      <c r="B4" s="730">
        <v>4.9043249258549606</v>
      </c>
      <c r="C4" s="730">
        <v>5.549027764868014</v>
      </c>
      <c r="D4" s="730">
        <v>5.5706183763750303</v>
      </c>
      <c r="E4" s="730">
        <v>5.6158035762468721</v>
      </c>
      <c r="F4" s="730">
        <v>5.6674678931769673</v>
      </c>
      <c r="G4" s="730">
        <v>5.7649886658467224</v>
      </c>
      <c r="H4" s="730">
        <v>5.8778493676704962</v>
      </c>
      <c r="I4" s="730">
        <v>5.9919053296575164</v>
      </c>
      <c r="J4" s="730">
        <v>6.1158804148606238</v>
      </c>
      <c r="K4" s="730">
        <v>6.263629160251563</v>
      </c>
      <c r="L4" s="730">
        <v>6.4133632078228979</v>
      </c>
      <c r="M4" s="730">
        <v>6.5650366420054889</v>
      </c>
      <c r="O4" s="731" t="s">
        <v>1050</v>
      </c>
      <c r="P4" s="730">
        <f>Veehind!E73</f>
        <v>4.9043249258549606</v>
      </c>
      <c r="Q4" s="730">
        <f>Veehind!F73</f>
        <v>5.549027764868014</v>
      </c>
      <c r="R4" s="730">
        <f>Veehind!G73</f>
        <v>5.5706183763750303</v>
      </c>
      <c r="S4" s="730">
        <f>Veehind!H73</f>
        <v>5.6158035762468721</v>
      </c>
      <c r="T4" s="730">
        <f>Veehind!I73</f>
        <v>5.6837899380573109</v>
      </c>
      <c r="U4" s="730">
        <f>Veehind!J73</f>
        <v>5.7913097211647715</v>
      </c>
      <c r="V4" s="730">
        <f>Veehind!K73</f>
        <v>5.9049768375466831</v>
      </c>
      <c r="W4" s="730">
        <f>Veehind!L73</f>
        <v>6.0198403111423833</v>
      </c>
      <c r="X4" s="730">
        <f>Veehind!M73</f>
        <v>6.1465008428156178</v>
      </c>
      <c r="Y4" s="730">
        <f>Veehind!N73</f>
        <v>6.2955512369949655</v>
      </c>
      <c r="Z4" s="730">
        <f>Veehind!O73</f>
        <v>6.4465733104124308</v>
      </c>
      <c r="AA4" s="730">
        <f>Veehind!P73</f>
        <v>6.5995278024930037</v>
      </c>
    </row>
    <row r="5" spans="1:27" x14ac:dyDescent="0.35">
      <c r="A5" s="732" t="s">
        <v>1051</v>
      </c>
      <c r="B5" s="728">
        <v>1.2537160825671504E-2</v>
      </c>
      <c r="C5" s="729">
        <v>1.3259501296341361E-2</v>
      </c>
      <c r="D5" s="728">
        <v>1.2599496618496261E-2</v>
      </c>
      <c r="E5" s="728">
        <v>1.2028383948109017E-2</v>
      </c>
      <c r="F5" s="728">
        <v>1.1667295084103758E-2</v>
      </c>
      <c r="G5" s="728">
        <v>1.14081934638864E-2</v>
      </c>
      <c r="H5" s="728">
        <v>1.1181952962066179E-2</v>
      </c>
      <c r="I5" s="728">
        <v>1.0959397129385446E-2</v>
      </c>
      <c r="J5" s="728">
        <v>1.0755877889537704E-2</v>
      </c>
      <c r="K5" s="728">
        <v>1.0593141443503696E-2</v>
      </c>
      <c r="L5" s="728">
        <v>1.0431406250717456E-2</v>
      </c>
      <c r="M5" s="728">
        <v>1.0270673754620693E-2</v>
      </c>
      <c r="O5" s="732" t="s">
        <v>1051</v>
      </c>
      <c r="P5" s="728">
        <f>Veehind!E78</f>
        <v>1.2537160825671504E-2</v>
      </c>
      <c r="Q5" s="728">
        <f>Veehind!F78</f>
        <v>1.3259501296341361E-2</v>
      </c>
      <c r="R5" s="728">
        <f>Veehind!G78</f>
        <v>1.2599496618496261E-2</v>
      </c>
      <c r="S5" s="728">
        <f>Veehind!H78</f>
        <v>1.2028383948109017E-2</v>
      </c>
      <c r="T5" s="728">
        <f>Veehind!I78</f>
        <v>1.1700957305796185E-2</v>
      </c>
      <c r="U5" s="728">
        <f>Veehind!J78</f>
        <v>1.1460339098129711E-2</v>
      </c>
      <c r="V5" s="728">
        <f>Veehind!K78</f>
        <v>1.123358554045149E-2</v>
      </c>
      <c r="W5" s="728">
        <f>Veehind!L78</f>
        <v>1.1010484775154849E-2</v>
      </c>
      <c r="X5" s="728">
        <f>Veehind!M78</f>
        <v>1.0809696955123117E-2</v>
      </c>
      <c r="Y5" s="728">
        <f>Veehind!N78</f>
        <v>1.0647072368332577E-2</v>
      </c>
      <c r="Z5" s="728">
        <f>Veehind!O78</f>
        <v>1.0485345774176331E-2</v>
      </c>
      <c r="AA5" s="728">
        <f>Veehind!P78</f>
        <v>1.0324537987073118E-2</v>
      </c>
    </row>
    <row r="6" spans="1:27" x14ac:dyDescent="0.35">
      <c r="A6" s="733" t="s">
        <v>1053</v>
      </c>
      <c r="B6" s="726">
        <v>283158.85875426605</v>
      </c>
      <c r="C6" s="726">
        <v>708701.49794359086</v>
      </c>
      <c r="D6" s="726">
        <v>751322.15264781681</v>
      </c>
      <c r="E6" s="726">
        <v>774679.80988101661</v>
      </c>
      <c r="F6" s="726">
        <v>790092.60131900839</v>
      </c>
      <c r="G6" s="726">
        <v>801227.94677992177</v>
      </c>
      <c r="H6" s="726">
        <v>820975.17630264931</v>
      </c>
      <c r="I6" s="726">
        <v>839904.86724943586</v>
      </c>
      <c r="J6" s="726">
        <v>862195.22426259122</v>
      </c>
      <c r="K6" s="726">
        <v>894606.52121642325</v>
      </c>
      <c r="L6" s="726">
        <v>926787.68572971341</v>
      </c>
      <c r="M6" s="726">
        <v>921612.04757474456</v>
      </c>
      <c r="O6" s="733" t="s">
        <v>1053</v>
      </c>
      <c r="P6" s="726">
        <f>Veehind!E115</f>
        <v>283158.85875426605</v>
      </c>
      <c r="Q6" s="726">
        <f>Veehind!F115</f>
        <v>708701.49794359086</v>
      </c>
      <c r="R6" s="726">
        <f>Veehind!G115</f>
        <v>751322.15264781681</v>
      </c>
      <c r="S6" s="726">
        <f>Veehind!H115</f>
        <v>769828.77256609872</v>
      </c>
      <c r="T6" s="726">
        <f>Veehind!I115</f>
        <v>824954.53279311326</v>
      </c>
      <c r="U6" s="726">
        <f>Veehind!J115</f>
        <v>842989.80056779389</v>
      </c>
      <c r="V6" s="726">
        <f>Veehind!K115</f>
        <v>863077.79275425826</v>
      </c>
      <c r="W6" s="726">
        <f>Veehind!L115</f>
        <v>882346.91112622805</v>
      </c>
      <c r="X6" s="726">
        <f>Veehind!M115</f>
        <v>905872.94344043243</v>
      </c>
      <c r="Y6" s="726">
        <f>Veehind!N115</f>
        <v>938860.00983710564</v>
      </c>
      <c r="Z6" s="726">
        <f>Veehind!O115</f>
        <v>971610.06774952018</v>
      </c>
      <c r="AA6" s="726">
        <f>Veehind!P115</f>
        <v>938630.38458436332</v>
      </c>
    </row>
    <row r="7" spans="1:27" x14ac:dyDescent="0.35">
      <c r="A7" s="733" t="s">
        <v>1052</v>
      </c>
      <c r="B7" s="726">
        <v>434185.44013504748</v>
      </c>
      <c r="C7" s="726">
        <v>672788.89638896403</v>
      </c>
      <c r="D7" s="726">
        <v>970395.05259606894</v>
      </c>
      <c r="E7" s="726">
        <v>1303006.3145258983</v>
      </c>
      <c r="F7" s="726">
        <v>1487699.0685460572</v>
      </c>
      <c r="G7" s="726">
        <v>1689326.3769942392</v>
      </c>
      <c r="H7" s="726">
        <v>1916616.1869504575</v>
      </c>
      <c r="I7" s="726">
        <v>2168869.3451028196</v>
      </c>
      <c r="J7" s="726">
        <v>2449567.2714848281</v>
      </c>
      <c r="K7" s="726">
        <v>2768954.0760939131</v>
      </c>
      <c r="L7" s="726">
        <v>3173925.2609703266</v>
      </c>
      <c r="M7" s="726">
        <v>3580252.1716519105</v>
      </c>
      <c r="O7" s="733" t="s">
        <v>1052</v>
      </c>
      <c r="P7" s="726">
        <f>Veehind!E113</f>
        <v>434185.44013504748</v>
      </c>
      <c r="Q7" s="726">
        <f>Veehind!F113</f>
        <v>672788.89638896403</v>
      </c>
      <c r="R7" s="726">
        <f>Veehind!G113</f>
        <v>970395.05259606894</v>
      </c>
      <c r="S7" s="726">
        <f>Veehind!H113</f>
        <v>884748.54764666595</v>
      </c>
      <c r="T7" s="726">
        <f>Veehind!I113</f>
        <v>1095158.5805331494</v>
      </c>
      <c r="U7" s="726">
        <f>Veehind!J113</f>
        <v>1329424.7017672947</v>
      </c>
      <c r="V7" s="726">
        <f>Veehind!K113</f>
        <v>1589716.1310112011</v>
      </c>
      <c r="W7" s="726">
        <f>Veehind!L113</f>
        <v>1875332.8205911827</v>
      </c>
      <c r="X7" s="726">
        <f>Veehind!M113</f>
        <v>2190652.8881109031</v>
      </c>
      <c r="Y7" s="726">
        <f>Veehind!N113</f>
        <v>2545260.9963977649</v>
      </c>
      <c r="Z7" s="726">
        <f>Veehind!O113</f>
        <v>2986046.2393102478</v>
      </c>
      <c r="AA7" s="726">
        <f>Veehind!P113</f>
        <v>3400407.5011960655</v>
      </c>
    </row>
    <row r="8" spans="1:27" x14ac:dyDescent="0.35">
      <c r="A8" s="733" t="s">
        <v>1054</v>
      </c>
      <c r="B8" s="727">
        <v>2.0861938545553116</v>
      </c>
      <c r="C8" s="727">
        <v>3.2448421821430133</v>
      </c>
      <c r="D8" s="727">
        <v>3.5410273669852321</v>
      </c>
      <c r="E8" s="727">
        <v>3.748332838416069</v>
      </c>
      <c r="F8" s="727">
        <v>3.9618491353198975</v>
      </c>
      <c r="G8" s="727">
        <v>4.1744206411215714</v>
      </c>
      <c r="H8" s="727">
        <v>4.4240521757914841</v>
      </c>
      <c r="I8" s="727">
        <v>4.6918741188703139</v>
      </c>
      <c r="J8" s="727">
        <v>4.9938431044492519</v>
      </c>
      <c r="K8" s="727">
        <v>5.3574283294416292</v>
      </c>
      <c r="L8" s="727">
        <v>6.9151145916700658</v>
      </c>
      <c r="M8" s="727">
        <v>7.2757936429153238</v>
      </c>
      <c r="O8" s="733" t="s">
        <v>1054</v>
      </c>
      <c r="P8" s="727">
        <f>Veehind!E118</f>
        <v>2.0861938545553116</v>
      </c>
      <c r="Q8" s="727">
        <f>Veehind!F118</f>
        <v>3.2448421821430133</v>
      </c>
      <c r="R8" s="727">
        <f>Veehind!G118</f>
        <v>3.5410273669852321</v>
      </c>
      <c r="S8" s="727">
        <f>Veehind!H118</f>
        <v>3.748332838416069</v>
      </c>
      <c r="T8" s="727">
        <f>Veehind!I118</f>
        <v>4.0749223834743837</v>
      </c>
      <c r="U8" s="727">
        <f>Veehind!J118</f>
        <v>4.3129182884648847</v>
      </c>
      <c r="V8" s="727">
        <f>Veehind!K118</f>
        <v>4.5696883456838515</v>
      </c>
      <c r="W8" s="727">
        <f>Veehind!L118</f>
        <v>4.8452161024371838</v>
      </c>
      <c r="X8" s="727">
        <f>Veehind!M118</f>
        <v>5.1584767335347719</v>
      </c>
      <c r="Y8" s="727">
        <f>Veehind!N118</f>
        <v>5.5320622704511742</v>
      </c>
      <c r="Z8" s="727">
        <f>Veehind!O118</f>
        <v>7.1380659809814366</v>
      </c>
      <c r="AA8" s="727">
        <f>Veehind!P118</f>
        <v>7.3855732033702211</v>
      </c>
    </row>
    <row r="10" spans="1:27" x14ac:dyDescent="0.35">
      <c r="A10" s="731" t="s">
        <v>1049</v>
      </c>
      <c r="B10" s="55">
        <v>2024</v>
      </c>
      <c r="C10" s="55">
        <v>2025</v>
      </c>
      <c r="D10" s="55">
        <v>2026</v>
      </c>
      <c r="E10" s="55">
        <v>2027</v>
      </c>
      <c r="F10" s="55">
        <v>2028</v>
      </c>
      <c r="G10" s="55">
        <v>2029</v>
      </c>
      <c r="H10" s="55">
        <v>2030</v>
      </c>
      <c r="I10" s="55">
        <v>2031</v>
      </c>
      <c r="J10" s="55">
        <v>2032</v>
      </c>
      <c r="K10" s="55">
        <v>2033</v>
      </c>
      <c r="L10" s="55">
        <v>2034</v>
      </c>
      <c r="M10" s="55">
        <v>2035</v>
      </c>
    </row>
    <row r="11" spans="1:27" x14ac:dyDescent="0.35">
      <c r="A11" s="733" t="s">
        <v>1055</v>
      </c>
      <c r="B11" s="592">
        <v>910869.17601971328</v>
      </c>
      <c r="C11" s="592">
        <v>996439.25320626691</v>
      </c>
      <c r="D11" s="592">
        <v>1077447.101290843</v>
      </c>
      <c r="E11" s="592">
        <v>2131717.6539500686</v>
      </c>
      <c r="F11" s="592">
        <v>2187641.5631028293</v>
      </c>
      <c r="G11" s="592">
        <v>2244904.3080056394</v>
      </c>
      <c r="H11" s="592">
        <v>2303611.2477734964</v>
      </c>
      <c r="I11" s="592">
        <v>2363812.0698175365</v>
      </c>
      <c r="J11" s="592">
        <v>2425570.9162573833</v>
      </c>
      <c r="K11" s="592">
        <v>2488942.8151418511</v>
      </c>
      <c r="L11" s="592">
        <v>2554032.9402961135</v>
      </c>
      <c r="M11" s="592">
        <v>2620925.3100056406</v>
      </c>
    </row>
    <row r="12" spans="1:27" x14ac:dyDescent="0.35">
      <c r="A12" s="731" t="s">
        <v>1050</v>
      </c>
      <c r="B12" s="730">
        <v>4.9043249258549606</v>
      </c>
      <c r="C12" s="730">
        <v>5.549027764868014</v>
      </c>
      <c r="D12" s="730">
        <v>5.5706183763750303</v>
      </c>
      <c r="E12" s="730">
        <v>5.6158035762468721</v>
      </c>
      <c r="F12" s="730">
        <v>6.9800898482542868</v>
      </c>
      <c r="G12" s="730">
        <v>7.1070272105076704</v>
      </c>
      <c r="H12" s="730">
        <v>7.2521098069093446</v>
      </c>
      <c r="I12" s="730">
        <v>7.3981285347735719</v>
      </c>
      <c r="J12" s="730">
        <v>7.5548082392031439</v>
      </c>
      <c r="K12" s="730">
        <v>7.7348922781505935</v>
      </c>
      <c r="L12" s="730">
        <v>7.9177109453528454</v>
      </c>
      <c r="M12" s="730">
        <v>8.1032327454451245</v>
      </c>
    </row>
    <row r="13" spans="1:27" x14ac:dyDescent="0.35">
      <c r="A13" s="732" t="s">
        <v>1051</v>
      </c>
      <c r="B13" s="728">
        <v>1.2537160825671504E-2</v>
      </c>
      <c r="C13" s="729">
        <v>1.3259501296341361E-2</v>
      </c>
      <c r="D13" s="728">
        <v>1.2599496618496261E-2</v>
      </c>
      <c r="E13" s="728">
        <v>1.2028383948109017E-2</v>
      </c>
      <c r="F13" s="728">
        <v>1.4374417357941443E-2</v>
      </c>
      <c r="G13" s="728">
        <v>1.4066956581272662E-2</v>
      </c>
      <c r="H13" s="728">
        <v>1.3797626674899846E-2</v>
      </c>
      <c r="I13" s="728">
        <v>1.3531105759820772E-2</v>
      </c>
      <c r="J13" s="728">
        <v>1.3284665167750774E-2</v>
      </c>
      <c r="K13" s="728">
        <v>1.3078115878316541E-2</v>
      </c>
      <c r="L13" s="728">
        <v>1.2873657307291715E-2</v>
      </c>
      <c r="M13" s="728">
        <v>1.2671253705187104E-2</v>
      </c>
    </row>
    <row r="14" spans="1:27" x14ac:dyDescent="0.35">
      <c r="A14" s="733" t="s">
        <v>1053</v>
      </c>
      <c r="B14" s="726">
        <v>283158.85875426605</v>
      </c>
      <c r="C14" s="726">
        <v>708701.49794359086</v>
      </c>
      <c r="D14" s="726">
        <v>751322.15264781681</v>
      </c>
      <c r="E14" s="726">
        <v>-228481.43903666257</v>
      </c>
      <c r="F14" s="726">
        <v>755118.05937099119</v>
      </c>
      <c r="G14" s="726">
        <v>764329.56046609615</v>
      </c>
      <c r="H14" s="726">
        <v>785463.31537077855</v>
      </c>
      <c r="I14" s="726">
        <v>805106.80551449151</v>
      </c>
      <c r="J14" s="726">
        <v>828143.92605341948</v>
      </c>
      <c r="K14" s="726">
        <v>860514.40589305153</v>
      </c>
      <c r="L14" s="726">
        <v>892662.97573855473</v>
      </c>
      <c r="M14" s="726">
        <v>887460.36495771818</v>
      </c>
    </row>
    <row r="15" spans="1:27" x14ac:dyDescent="0.35">
      <c r="A15" s="733" t="s">
        <v>1052</v>
      </c>
      <c r="B15" s="726">
        <v>434185.44013504748</v>
      </c>
      <c r="C15" s="726">
        <v>672788.89638896403</v>
      </c>
      <c r="D15" s="726">
        <v>970395.05259606894</v>
      </c>
      <c r="E15" s="726">
        <v>591823.00907713373</v>
      </c>
      <c r="F15" s="726">
        <v>769156.44101213501</v>
      </c>
      <c r="G15" s="726">
        <v>918985.58104117471</v>
      </c>
      <c r="H15" s="726">
        <v>1095677.500683889</v>
      </c>
      <c r="I15" s="726">
        <v>1297857.9923524035</v>
      </c>
      <c r="J15" s="726">
        <v>1529039.0832169754</v>
      </c>
      <c r="K15" s="726">
        <v>1798674.9159780708</v>
      </c>
      <c r="L15" s="726">
        <v>2153666.7986321496</v>
      </c>
      <c r="M15" s="726">
        <v>2509789.2520626415</v>
      </c>
    </row>
    <row r="16" spans="1:27" x14ac:dyDescent="0.35">
      <c r="A16" s="733" t="s">
        <v>1054</v>
      </c>
      <c r="B16" s="727">
        <v>2.0861938545553116</v>
      </c>
      <c r="C16" s="727">
        <v>3.2448421821430133</v>
      </c>
      <c r="D16" s="727">
        <v>3.5410273669852321</v>
      </c>
      <c r="E16" s="727">
        <v>1.0189172947289971</v>
      </c>
      <c r="F16" s="727">
        <v>3.6375165159675218</v>
      </c>
      <c r="G16" s="727">
        <v>3.7883917133079925</v>
      </c>
      <c r="H16" s="727">
        <v>4.0106588737927451</v>
      </c>
      <c r="I16" s="727">
        <v>4.2462834413964483</v>
      </c>
      <c r="J16" s="727">
        <v>4.511567443313746</v>
      </c>
      <c r="K16" s="727">
        <v>4.8286937841342246</v>
      </c>
      <c r="L16" s="727">
        <v>6.108756912768496</v>
      </c>
      <c r="M16" s="727">
        <v>6.4055764961927215</v>
      </c>
    </row>
  </sheetData>
  <conditionalFormatting sqref="B7:M7">
    <cfRule type="cellIs" dxfId="6" priority="8" operator="equal">
      <formula>0</formula>
    </cfRule>
    <cfRule type="cellIs" dxfId="5" priority="9" operator="lessThan">
      <formula>0</formula>
    </cfRule>
  </conditionalFormatting>
  <conditionalFormatting sqref="B7:M8">
    <cfRule type="cellIs" dxfId="4" priority="7" operator="lessThan">
      <formula>1.25</formula>
    </cfRule>
  </conditionalFormatting>
  <conditionalFormatting sqref="B16:M16">
    <cfRule type="cellIs" dxfId="3" priority="4" operator="lessThan">
      <formula>1.25</formula>
    </cfRule>
  </conditionalFormatting>
  <conditionalFormatting sqref="P7:AA7">
    <cfRule type="cellIs" dxfId="2" priority="2" operator="equal">
      <formula>0</formula>
    </cfRule>
    <cfRule type="cellIs" dxfId="1" priority="3" operator="lessThan">
      <formula>0</formula>
    </cfRule>
  </conditionalFormatting>
  <conditionalFormatting sqref="P7:AA8">
    <cfRule type="cellIs" dxfId="0" priority="1" operator="lessThan">
      <formula>1.25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6827-4989-4321-BC9C-50A67452436B}">
  <dimension ref="A1:Z119"/>
  <sheetViews>
    <sheetView workbookViewId="0">
      <selection activeCell="R23" sqref="R23"/>
    </sheetView>
  </sheetViews>
  <sheetFormatPr defaultRowHeight="14.5" x14ac:dyDescent="0.35"/>
  <cols>
    <col min="1" max="1" width="15.81640625" customWidth="1"/>
    <col min="2" max="4" width="6.1796875" style="6" customWidth="1"/>
    <col min="5" max="5" width="10.36328125" style="6" customWidth="1"/>
    <col min="6" max="8" width="10.6328125" customWidth="1"/>
    <col min="9" max="11" width="10.6328125" bestFit="1" customWidth="1"/>
    <col min="13" max="14" width="13.453125" customWidth="1"/>
    <col min="15" max="15" width="10" bestFit="1" customWidth="1"/>
    <col min="18" max="18" width="10" bestFit="1" customWidth="1"/>
    <col min="20" max="20" width="23.453125" customWidth="1"/>
  </cols>
  <sheetData>
    <row r="1" spans="1:26" ht="18.5" x14ac:dyDescent="0.45">
      <c r="A1" s="169" t="s">
        <v>464</v>
      </c>
      <c r="F1" s="154" t="s">
        <v>91</v>
      </c>
      <c r="G1" s="155"/>
      <c r="H1" s="155"/>
      <c r="I1" s="155"/>
      <c r="J1" s="155"/>
      <c r="K1" s="155"/>
      <c r="M1" s="169" t="s">
        <v>463</v>
      </c>
      <c r="O1" s="170"/>
      <c r="P1" s="170"/>
      <c r="Q1" s="170"/>
      <c r="R1" s="170"/>
      <c r="T1" s="169" t="s">
        <v>557</v>
      </c>
    </row>
    <row r="2" spans="1:26" x14ac:dyDescent="0.35">
      <c r="M2" s="171" t="s">
        <v>451</v>
      </c>
      <c r="N2" s="171" t="s">
        <v>452</v>
      </c>
      <c r="O2" s="172">
        <v>2020</v>
      </c>
      <c r="P2" s="172">
        <v>2021</v>
      </c>
      <c r="Q2" s="172">
        <v>2022</v>
      </c>
      <c r="R2" s="172" t="s">
        <v>221</v>
      </c>
      <c r="T2" s="287"/>
      <c r="U2" s="288">
        <v>2020</v>
      </c>
      <c r="V2" s="288">
        <v>2021</v>
      </c>
      <c r="W2" s="288">
        <v>2022</v>
      </c>
      <c r="X2" s="288" t="s">
        <v>221</v>
      </c>
      <c r="Y2" s="289" t="s">
        <v>537</v>
      </c>
    </row>
    <row r="3" spans="1:26" x14ac:dyDescent="0.35">
      <c r="A3" t="s">
        <v>295</v>
      </c>
      <c r="B3" s="6" t="s">
        <v>295</v>
      </c>
      <c r="F3" s="133" t="s">
        <v>38</v>
      </c>
      <c r="G3" s="133"/>
      <c r="H3" s="133"/>
      <c r="I3" s="133" t="s">
        <v>39</v>
      </c>
      <c r="J3" s="133"/>
      <c r="K3" s="133"/>
      <c r="M3" s="173" t="s">
        <v>268</v>
      </c>
      <c r="N3" s="173" t="s">
        <v>453</v>
      </c>
      <c r="O3" s="174">
        <v>113633</v>
      </c>
      <c r="P3" s="174">
        <v>71391</v>
      </c>
      <c r="Q3" s="174">
        <v>44636</v>
      </c>
      <c r="R3" s="174">
        <v>33179</v>
      </c>
      <c r="S3" s="643">
        <f>Q3/365</f>
        <v>122.2904109589041</v>
      </c>
      <c r="T3" s="290" t="s">
        <v>538</v>
      </c>
      <c r="U3" s="291">
        <v>695055</v>
      </c>
      <c r="V3" s="291">
        <v>717513</v>
      </c>
      <c r="W3" s="291">
        <v>729503</v>
      </c>
      <c r="X3" s="291">
        <v>416047</v>
      </c>
      <c r="Y3" s="292">
        <f>X3*2</f>
        <v>832094</v>
      </c>
      <c r="Z3" s="556">
        <f>Y3/W3</f>
        <v>1.1406313613514956</v>
      </c>
    </row>
    <row r="4" spans="1:26" x14ac:dyDescent="0.35">
      <c r="A4" t="s">
        <v>296</v>
      </c>
      <c r="B4" s="6" t="s">
        <v>296</v>
      </c>
      <c r="F4" s="156">
        <v>2020</v>
      </c>
      <c r="G4" s="156">
        <v>2021</v>
      </c>
      <c r="H4" s="156">
        <v>2022</v>
      </c>
      <c r="I4" s="156">
        <v>2020</v>
      </c>
      <c r="J4" s="156">
        <v>2021</v>
      </c>
      <c r="K4" s="156">
        <v>2022</v>
      </c>
      <c r="M4" s="173" t="s">
        <v>268</v>
      </c>
      <c r="N4" s="173" t="s">
        <v>454</v>
      </c>
      <c r="O4" s="174">
        <v>26881</v>
      </c>
      <c r="P4" s="174">
        <v>30528</v>
      </c>
      <c r="Q4" s="174">
        <v>27022</v>
      </c>
      <c r="R4" s="174">
        <v>16931</v>
      </c>
      <c r="S4" s="643">
        <f t="shared" ref="S4:S19" si="0">Q4/365</f>
        <v>74.032876712328772</v>
      </c>
      <c r="T4" s="293" t="s">
        <v>539</v>
      </c>
      <c r="U4" s="294">
        <v>643393</v>
      </c>
      <c r="V4" s="294">
        <v>663297</v>
      </c>
      <c r="W4" s="294">
        <v>673334</v>
      </c>
      <c r="X4" s="294">
        <v>385801</v>
      </c>
      <c r="Y4" s="295">
        <f t="shared" ref="Y4:Y6" si="1">X4*2</f>
        <v>771602</v>
      </c>
    </row>
    <row r="5" spans="1:26" x14ac:dyDescent="0.35">
      <c r="A5" t="s">
        <v>297</v>
      </c>
      <c r="B5" s="6" t="s">
        <v>406</v>
      </c>
      <c r="C5" s="6" t="s">
        <v>407</v>
      </c>
      <c r="I5" s="157">
        <v>0</v>
      </c>
      <c r="J5" s="157">
        <v>0</v>
      </c>
      <c r="K5" s="157">
        <v>-29.42</v>
      </c>
      <c r="M5" s="173" t="s">
        <v>268</v>
      </c>
      <c r="N5" s="173" t="s">
        <v>455</v>
      </c>
      <c r="O5" s="174">
        <v>87526</v>
      </c>
      <c r="P5" s="174">
        <v>86688</v>
      </c>
      <c r="Q5" s="174">
        <v>88518</v>
      </c>
      <c r="R5" s="174">
        <v>45116</v>
      </c>
      <c r="S5" s="643">
        <f t="shared" si="0"/>
        <v>242.51506849315069</v>
      </c>
      <c r="T5" s="296" t="s">
        <v>540</v>
      </c>
      <c r="U5" s="297">
        <v>19925</v>
      </c>
      <c r="V5" s="297">
        <v>13157</v>
      </c>
      <c r="W5" s="297">
        <v>21646</v>
      </c>
      <c r="X5" s="298">
        <v>-7083</v>
      </c>
      <c r="Y5" s="295"/>
    </row>
    <row r="6" spans="1:26" x14ac:dyDescent="0.35">
      <c r="A6" t="s">
        <v>298</v>
      </c>
      <c r="B6" s="6" t="s">
        <v>406</v>
      </c>
      <c r="C6" s="6" t="s">
        <v>408</v>
      </c>
      <c r="I6" s="157"/>
      <c r="J6" s="157"/>
      <c r="K6" s="157"/>
      <c r="M6" s="173" t="s">
        <v>436</v>
      </c>
      <c r="N6" s="173" t="s">
        <v>436</v>
      </c>
      <c r="O6" s="174">
        <v>0</v>
      </c>
      <c r="P6" s="174">
        <v>39157</v>
      </c>
      <c r="Q6" s="174">
        <v>38771</v>
      </c>
      <c r="R6" s="174">
        <v>21672</v>
      </c>
      <c r="S6" s="643">
        <f t="shared" si="0"/>
        <v>106.22191780821917</v>
      </c>
      <c r="T6" s="299" t="s">
        <v>541</v>
      </c>
      <c r="U6" s="300">
        <v>51662</v>
      </c>
      <c r="V6" s="300">
        <v>54216</v>
      </c>
      <c r="W6" s="300">
        <v>56169</v>
      </c>
      <c r="X6" s="300">
        <v>30246</v>
      </c>
      <c r="Y6" s="301">
        <f t="shared" si="1"/>
        <v>60492</v>
      </c>
    </row>
    <row r="7" spans="1:26" x14ac:dyDescent="0.35">
      <c r="A7" t="s">
        <v>301</v>
      </c>
      <c r="B7" s="6" t="s">
        <v>409</v>
      </c>
      <c r="C7" s="6" t="s">
        <v>407</v>
      </c>
      <c r="D7" s="6" t="s">
        <v>268</v>
      </c>
      <c r="F7">
        <v>-9766.1699999999983</v>
      </c>
      <c r="G7">
        <v>-9746.0000000000073</v>
      </c>
      <c r="H7">
        <v>-9011.4399999999932</v>
      </c>
      <c r="I7" s="157">
        <v>-8726.0999999999949</v>
      </c>
      <c r="J7" s="157">
        <v>-8978.2500000000036</v>
      </c>
      <c r="K7" s="157">
        <v>-8210.2399999999961</v>
      </c>
      <c r="M7" s="173" t="s">
        <v>499</v>
      </c>
      <c r="N7" s="173" t="s">
        <v>456</v>
      </c>
      <c r="O7" s="175">
        <v>14027</v>
      </c>
      <c r="P7" s="174">
        <v>10183</v>
      </c>
      <c r="Q7" s="174">
        <v>1376</v>
      </c>
      <c r="R7" s="174">
        <v>538</v>
      </c>
      <c r="S7" s="643">
        <f t="shared" si="0"/>
        <v>3.7698630136986302</v>
      </c>
      <c r="T7" s="302"/>
      <c r="U7" s="5"/>
      <c r="V7" s="5"/>
      <c r="W7" s="5"/>
      <c r="X7" s="5"/>
      <c r="Y7" s="170"/>
    </row>
    <row r="8" spans="1:26" x14ac:dyDescent="0.35">
      <c r="A8" t="s">
        <v>302</v>
      </c>
      <c r="B8" s="6" t="s">
        <v>409</v>
      </c>
      <c r="C8" s="6" t="s">
        <v>408</v>
      </c>
      <c r="D8" s="6" t="s">
        <v>268</v>
      </c>
      <c r="F8">
        <v>-488.17</v>
      </c>
      <c r="G8">
        <v>-812.46999999999991</v>
      </c>
      <c r="H8">
        <v>-765.92000000000007</v>
      </c>
      <c r="I8" s="157">
        <v>-488.17</v>
      </c>
      <c r="J8" s="157">
        <v>-812.46999999999991</v>
      </c>
      <c r="K8" s="157">
        <v>-765.92000000000007</v>
      </c>
      <c r="M8" s="173" t="s">
        <v>499</v>
      </c>
      <c r="N8" s="173" t="s">
        <v>443</v>
      </c>
      <c r="O8" s="174">
        <v>0</v>
      </c>
      <c r="P8" s="174">
        <v>20687</v>
      </c>
      <c r="Q8" s="174">
        <v>97401</v>
      </c>
      <c r="R8" s="174">
        <v>47763</v>
      </c>
      <c r="S8" s="643">
        <f t="shared" si="0"/>
        <v>266.85205479452054</v>
      </c>
      <c r="T8" s="290" t="s">
        <v>542</v>
      </c>
      <c r="U8" s="291">
        <v>623468</v>
      </c>
      <c r="V8" s="291">
        <v>650140</v>
      </c>
      <c r="W8" s="291">
        <v>651688</v>
      </c>
      <c r="X8" s="291">
        <v>392884</v>
      </c>
      <c r="Y8" s="292">
        <f>X8*2</f>
        <v>785768</v>
      </c>
    </row>
    <row r="9" spans="1:26" x14ac:dyDescent="0.35">
      <c r="A9" s="96" t="s">
        <v>303</v>
      </c>
      <c r="B9" s="6" t="s">
        <v>409</v>
      </c>
      <c r="C9" s="6" t="s">
        <v>410</v>
      </c>
      <c r="D9" s="6" t="s">
        <v>268</v>
      </c>
      <c r="F9">
        <v>9800.4399999999987</v>
      </c>
      <c r="G9">
        <v>10558.47</v>
      </c>
      <c r="H9">
        <v>9777.36</v>
      </c>
      <c r="I9" s="157">
        <v>0</v>
      </c>
      <c r="J9" s="157">
        <v>452.78000000000003</v>
      </c>
      <c r="K9" s="157">
        <v>-6.0000000000000001E-3</v>
      </c>
      <c r="M9" s="173" t="s">
        <v>499</v>
      </c>
      <c r="N9" s="173" t="s">
        <v>457</v>
      </c>
      <c r="O9" s="174">
        <v>8988</v>
      </c>
      <c r="P9" s="175">
        <v>8560</v>
      </c>
      <c r="Q9" s="175">
        <v>9273</v>
      </c>
      <c r="R9" s="174">
        <v>6230</v>
      </c>
      <c r="S9" s="643">
        <f t="shared" si="0"/>
        <v>25.405479452054795</v>
      </c>
      <c r="T9" s="293" t="s">
        <v>268</v>
      </c>
      <c r="U9" s="294">
        <v>485370</v>
      </c>
      <c r="V9" s="294">
        <v>502771</v>
      </c>
      <c r="W9" s="294">
        <v>534407</v>
      </c>
      <c r="X9" s="294">
        <v>331865</v>
      </c>
      <c r="Y9" s="295">
        <f t="shared" ref="Y9:Y13" si="2">X9*2</f>
        <v>663730</v>
      </c>
    </row>
    <row r="10" spans="1:26" x14ac:dyDescent="0.35">
      <c r="A10" t="s">
        <v>304</v>
      </c>
      <c r="B10" s="6" t="s">
        <v>409</v>
      </c>
      <c r="C10" s="6" t="s">
        <v>411</v>
      </c>
      <c r="D10" s="6" t="s">
        <v>268</v>
      </c>
      <c r="I10" s="157"/>
      <c r="J10" s="157"/>
      <c r="K10" s="157"/>
      <c r="M10" s="173" t="s">
        <v>282</v>
      </c>
      <c r="N10" s="173" t="s">
        <v>245</v>
      </c>
      <c r="O10" s="174">
        <v>1595</v>
      </c>
      <c r="P10" s="174">
        <v>1667</v>
      </c>
      <c r="Q10" s="174">
        <v>1699</v>
      </c>
      <c r="R10" s="174">
        <v>917</v>
      </c>
      <c r="S10" s="644">
        <f t="shared" si="0"/>
        <v>4.6547945205479451</v>
      </c>
      <c r="T10" s="293" t="s">
        <v>543</v>
      </c>
      <c r="U10" s="294">
        <v>62057</v>
      </c>
      <c r="V10" s="294">
        <v>71541</v>
      </c>
      <c r="W10" s="294">
        <v>49729</v>
      </c>
      <c r="X10" s="294">
        <v>24000</v>
      </c>
      <c r="Y10" s="295">
        <f t="shared" si="2"/>
        <v>48000</v>
      </c>
    </row>
    <row r="11" spans="1:26" x14ac:dyDescent="0.35">
      <c r="A11" t="s">
        <v>305</v>
      </c>
      <c r="B11" s="6" t="s">
        <v>409</v>
      </c>
      <c r="C11" s="6" t="s">
        <v>412</v>
      </c>
      <c r="D11" s="6" t="s">
        <v>268</v>
      </c>
      <c r="I11" s="157">
        <v>8760.3700000000008</v>
      </c>
      <c r="J11" s="157">
        <v>9337.94</v>
      </c>
      <c r="K11" s="157">
        <v>8976.1659999999993</v>
      </c>
      <c r="M11" s="173" t="s">
        <v>282</v>
      </c>
      <c r="N11" s="173" t="s">
        <v>458</v>
      </c>
      <c r="O11" s="174">
        <v>23174</v>
      </c>
      <c r="P11" s="174">
        <v>24630</v>
      </c>
      <c r="Q11" s="174">
        <v>16149</v>
      </c>
      <c r="R11" s="174">
        <v>8534</v>
      </c>
      <c r="S11" s="644">
        <f t="shared" si="0"/>
        <v>44.243835616438353</v>
      </c>
      <c r="T11" s="293" t="s">
        <v>544</v>
      </c>
      <c r="U11" s="294">
        <v>76041</v>
      </c>
      <c r="V11" s="294">
        <v>75828</v>
      </c>
      <c r="W11" s="294">
        <v>67552</v>
      </c>
      <c r="X11" s="294">
        <v>37019</v>
      </c>
      <c r="Y11" s="295">
        <f t="shared" si="2"/>
        <v>74038</v>
      </c>
    </row>
    <row r="12" spans="1:26" x14ac:dyDescent="0.35">
      <c r="A12" t="s">
        <v>306</v>
      </c>
      <c r="B12" s="6" t="s">
        <v>413</v>
      </c>
      <c r="C12" s="6" t="s">
        <v>407</v>
      </c>
      <c r="D12" s="6" t="s">
        <v>433</v>
      </c>
      <c r="F12">
        <v>-1578.1399799999995</v>
      </c>
      <c r="G12">
        <v>-1460.7300200000027</v>
      </c>
      <c r="H12" s="449">
        <v>-1249.3200199999985</v>
      </c>
      <c r="I12" s="157"/>
      <c r="J12" s="157"/>
      <c r="K12" s="157"/>
      <c r="L12" s="449">
        <f>ABS(AVERAGE(F12:H12)+AVERAGE(F13:H13))*1000/365/100</f>
        <v>39.161552694063936</v>
      </c>
      <c r="M12" s="173" t="s">
        <v>434</v>
      </c>
      <c r="N12" s="173" t="s">
        <v>459</v>
      </c>
      <c r="O12" s="175">
        <v>1941</v>
      </c>
      <c r="P12" s="175">
        <v>43024</v>
      </c>
      <c r="Q12" s="175">
        <v>46951</v>
      </c>
      <c r="R12" s="174">
        <v>22568</v>
      </c>
      <c r="S12" s="643">
        <f t="shared" si="0"/>
        <v>128.63287671232877</v>
      </c>
      <c r="T12" s="303" t="s">
        <v>545</v>
      </c>
      <c r="U12" s="304">
        <f>U8-U15-U10</f>
        <v>561411</v>
      </c>
      <c r="V12" s="304">
        <f t="shared" ref="V12:X12" si="3">V8-V15-V10</f>
        <v>541448</v>
      </c>
      <c r="W12" s="304">
        <f t="shared" si="3"/>
        <v>491586</v>
      </c>
      <c r="X12" s="304">
        <f t="shared" si="3"/>
        <v>272732</v>
      </c>
      <c r="Y12" s="301">
        <f t="shared" si="2"/>
        <v>545464</v>
      </c>
    </row>
    <row r="13" spans="1:26" x14ac:dyDescent="0.35">
      <c r="A13" t="s">
        <v>307</v>
      </c>
      <c r="B13" s="6" t="s">
        <v>413</v>
      </c>
      <c r="C13" s="6" t="s">
        <v>408</v>
      </c>
      <c r="D13" s="6" t="s">
        <v>433</v>
      </c>
      <c r="F13">
        <v>0</v>
      </c>
      <c r="G13">
        <v>0</v>
      </c>
      <c r="H13">
        <v>0</v>
      </c>
      <c r="I13" s="157"/>
      <c r="J13" s="157"/>
      <c r="K13" s="157"/>
      <c r="M13" s="173" t="s">
        <v>434</v>
      </c>
      <c r="N13" s="173" t="s">
        <v>460</v>
      </c>
      <c r="O13" s="174">
        <v>8117</v>
      </c>
      <c r="P13" s="174">
        <v>4680</v>
      </c>
      <c r="Q13" s="174">
        <v>2287</v>
      </c>
      <c r="R13" s="174">
        <v>1139</v>
      </c>
      <c r="S13" s="644">
        <f t="shared" si="0"/>
        <v>6.2657534246575342</v>
      </c>
      <c r="T13" s="305" t="s">
        <v>546</v>
      </c>
      <c r="U13" s="306"/>
      <c r="V13" s="306">
        <v>171338</v>
      </c>
      <c r="W13" s="306">
        <v>181027</v>
      </c>
      <c r="X13" s="306">
        <v>85338</v>
      </c>
      <c r="Y13" s="295">
        <f t="shared" si="2"/>
        <v>170676</v>
      </c>
    </row>
    <row r="14" spans="1:26" x14ac:dyDescent="0.35">
      <c r="A14" s="96" t="s">
        <v>308</v>
      </c>
      <c r="B14" s="6" t="s">
        <v>413</v>
      </c>
      <c r="C14" s="6" t="s">
        <v>410</v>
      </c>
      <c r="D14" s="6" t="s">
        <v>433</v>
      </c>
      <c r="F14">
        <v>52.139980000000001</v>
      </c>
      <c r="G14">
        <v>39.730019999999996</v>
      </c>
      <c r="H14">
        <v>4.3200199999999995</v>
      </c>
      <c r="I14" s="157"/>
      <c r="J14" s="157"/>
      <c r="K14" s="157"/>
      <c r="M14" s="173" t="s">
        <v>434</v>
      </c>
      <c r="N14" s="173" t="s">
        <v>461</v>
      </c>
      <c r="O14" s="174">
        <v>15756</v>
      </c>
      <c r="P14" s="174">
        <v>21833</v>
      </c>
      <c r="Q14" s="174">
        <v>24032</v>
      </c>
      <c r="R14" s="174">
        <v>13209</v>
      </c>
      <c r="S14" s="643">
        <f t="shared" si="0"/>
        <v>65.841095890410955</v>
      </c>
      <c r="Y14" s="170"/>
    </row>
    <row r="15" spans="1:26" x14ac:dyDescent="0.35">
      <c r="A15" t="s">
        <v>309</v>
      </c>
      <c r="B15" s="6" t="s">
        <v>413</v>
      </c>
      <c r="C15" s="6" t="s">
        <v>411</v>
      </c>
      <c r="D15" s="6" t="s">
        <v>433</v>
      </c>
      <c r="F15">
        <v>-151</v>
      </c>
      <c r="G15">
        <v>-164</v>
      </c>
      <c r="H15">
        <v>-165</v>
      </c>
      <c r="I15" s="157"/>
      <c r="J15" s="157"/>
      <c r="K15" s="157"/>
      <c r="M15" s="173" t="s">
        <v>433</v>
      </c>
      <c r="N15" s="173" t="s">
        <v>233</v>
      </c>
      <c r="O15" s="174">
        <v>1677</v>
      </c>
      <c r="P15" s="174">
        <v>1585</v>
      </c>
      <c r="Q15" s="174">
        <v>1410</v>
      </c>
      <c r="R15" s="174">
        <v>756</v>
      </c>
      <c r="S15" s="643">
        <f t="shared" si="0"/>
        <v>3.8630136986301369</v>
      </c>
      <c r="T15" s="290" t="s">
        <v>547</v>
      </c>
      <c r="U15" s="291">
        <v>0</v>
      </c>
      <c r="V15" s="291">
        <v>37151</v>
      </c>
      <c r="W15" s="291">
        <v>110373</v>
      </c>
      <c r="X15" s="291">
        <v>96152</v>
      </c>
      <c r="Y15" s="292">
        <f>X15*2</f>
        <v>192304</v>
      </c>
    </row>
    <row r="16" spans="1:26" x14ac:dyDescent="0.35">
      <c r="A16" t="s">
        <v>310</v>
      </c>
      <c r="B16" s="6" t="s">
        <v>413</v>
      </c>
      <c r="C16" s="6" t="s">
        <v>412</v>
      </c>
      <c r="D16" s="6" t="s">
        <v>433</v>
      </c>
      <c r="F16">
        <v>1677</v>
      </c>
      <c r="G16">
        <v>1585</v>
      </c>
      <c r="H16">
        <v>1410</v>
      </c>
      <c r="I16" s="157"/>
      <c r="J16" s="157"/>
      <c r="K16" s="157"/>
      <c r="M16" s="173" t="s">
        <v>433</v>
      </c>
      <c r="N16" s="173" t="s">
        <v>462</v>
      </c>
      <c r="O16" s="174">
        <v>2784</v>
      </c>
      <c r="P16" s="174">
        <v>2778</v>
      </c>
      <c r="Q16" s="174">
        <v>2457</v>
      </c>
      <c r="R16" s="174">
        <v>1503</v>
      </c>
      <c r="S16" s="643">
        <f t="shared" si="0"/>
        <v>6.7315068493150685</v>
      </c>
    </row>
    <row r="17" spans="1:25" x14ac:dyDescent="0.35">
      <c r="A17" t="s">
        <v>311</v>
      </c>
      <c r="B17" s="6" t="s">
        <v>414</v>
      </c>
      <c r="C17" s="6" t="s">
        <v>407</v>
      </c>
      <c r="D17" s="6" t="s">
        <v>268</v>
      </c>
      <c r="F17">
        <v>-18023.450000000019</v>
      </c>
      <c r="G17">
        <v>-17728.89</v>
      </c>
      <c r="H17">
        <v>-17064.289999999994</v>
      </c>
      <c r="I17" s="157">
        <v>-17584.8</v>
      </c>
      <c r="J17" s="157">
        <v>-17587.089999999982</v>
      </c>
      <c r="K17" s="157">
        <v>-17024.109999999975</v>
      </c>
      <c r="M17" s="173" t="s">
        <v>438</v>
      </c>
      <c r="N17" s="173" t="s">
        <v>438</v>
      </c>
      <c r="O17" s="174">
        <v>2839</v>
      </c>
      <c r="P17" s="174">
        <v>2594</v>
      </c>
      <c r="Q17" s="174">
        <v>2960</v>
      </c>
      <c r="R17" s="174">
        <v>1242</v>
      </c>
      <c r="S17" s="643">
        <f t="shared" si="0"/>
        <v>8.1095890410958908</v>
      </c>
      <c r="T17" s="293" t="s">
        <v>548</v>
      </c>
      <c r="U17" s="294">
        <v>0</v>
      </c>
      <c r="V17" s="294">
        <v>13479</v>
      </c>
      <c r="W17" s="294">
        <v>22539</v>
      </c>
      <c r="X17" s="294">
        <v>14778</v>
      </c>
      <c r="Y17" s="295">
        <f t="shared" ref="Y17:Y27" si="4">X17*2</f>
        <v>29556</v>
      </c>
    </row>
    <row r="18" spans="1:25" x14ac:dyDescent="0.35">
      <c r="A18" t="s">
        <v>312</v>
      </c>
      <c r="B18" s="6" t="s">
        <v>414</v>
      </c>
      <c r="C18" s="6" t="s">
        <v>408</v>
      </c>
      <c r="D18" s="6" t="s">
        <v>268</v>
      </c>
      <c r="F18">
        <v>-7571.869999999999</v>
      </c>
      <c r="G18">
        <v>-7079.7800000000034</v>
      </c>
      <c r="H18">
        <v>-9464.9900000000016</v>
      </c>
      <c r="I18" s="157">
        <v>-208285.86999999991</v>
      </c>
      <c r="J18" s="157">
        <v>-228498.97999999995</v>
      </c>
      <c r="K18" s="157">
        <v>-190013.99000000002</v>
      </c>
      <c r="M18" s="173" t="s">
        <v>437</v>
      </c>
      <c r="N18" s="173" t="s">
        <v>437</v>
      </c>
      <c r="O18" s="174">
        <v>13400</v>
      </c>
      <c r="P18" s="174">
        <v>14054</v>
      </c>
      <c r="Q18" s="174">
        <v>13642</v>
      </c>
      <c r="R18" s="174">
        <v>7324</v>
      </c>
      <c r="S18" s="643">
        <f t="shared" si="0"/>
        <v>37.375342465753427</v>
      </c>
      <c r="T18" s="293" t="s">
        <v>549</v>
      </c>
      <c r="U18" s="294">
        <v>0</v>
      </c>
      <c r="V18" s="294">
        <v>2125</v>
      </c>
      <c r="W18" s="294">
        <v>5540</v>
      </c>
      <c r="X18" s="294">
        <v>5221</v>
      </c>
      <c r="Y18" s="295">
        <f t="shared" si="4"/>
        <v>10442</v>
      </c>
    </row>
    <row r="19" spans="1:25" x14ac:dyDescent="0.35">
      <c r="A19" t="s">
        <v>313</v>
      </c>
      <c r="B19" s="6" t="s">
        <v>414</v>
      </c>
      <c r="C19" s="6" t="s">
        <v>410</v>
      </c>
      <c r="D19" s="6" t="s">
        <v>268</v>
      </c>
      <c r="F19">
        <v>2341.4200000000005</v>
      </c>
      <c r="G19">
        <v>-1833.17</v>
      </c>
      <c r="H19">
        <v>3417.1200000000003</v>
      </c>
      <c r="I19" s="157">
        <v>9038.0400000000009</v>
      </c>
      <c r="J19" s="157">
        <v>11491</v>
      </c>
      <c r="K19" s="157">
        <v>6479.9340000000002</v>
      </c>
      <c r="M19" s="173" t="s">
        <v>435</v>
      </c>
      <c r="N19" s="173" t="s">
        <v>435</v>
      </c>
      <c r="O19" s="174">
        <v>2223</v>
      </c>
      <c r="P19" s="174">
        <v>2352</v>
      </c>
      <c r="Q19" s="174">
        <v>1822</v>
      </c>
      <c r="R19" s="174">
        <v>910</v>
      </c>
      <c r="S19" s="643">
        <f t="shared" si="0"/>
        <v>4.9917808219178079</v>
      </c>
      <c r="T19" s="293" t="s">
        <v>550</v>
      </c>
      <c r="U19" s="294">
        <v>0</v>
      </c>
      <c r="V19" s="294">
        <v>2110</v>
      </c>
      <c r="W19" s="294">
        <v>5973</v>
      </c>
      <c r="X19" s="294">
        <v>8508</v>
      </c>
      <c r="Y19" s="295">
        <f t="shared" si="4"/>
        <v>17016</v>
      </c>
    </row>
    <row r="20" spans="1:25" x14ac:dyDescent="0.35">
      <c r="A20" t="s">
        <v>314</v>
      </c>
      <c r="B20" s="6" t="s">
        <v>414</v>
      </c>
      <c r="C20" s="6" t="s">
        <v>411</v>
      </c>
      <c r="D20" s="6" t="s">
        <v>268</v>
      </c>
      <c r="F20">
        <v>-3627.1</v>
      </c>
      <c r="G20">
        <v>-3886.16</v>
      </c>
      <c r="H20">
        <v>-3900.01</v>
      </c>
      <c r="I20" s="157">
        <v>-3511</v>
      </c>
      <c r="J20" s="157">
        <v>-3761.59</v>
      </c>
      <c r="K20" s="157">
        <v>-3811.75</v>
      </c>
      <c r="O20" s="176">
        <f>SUM(O3:O19)</f>
        <v>324561</v>
      </c>
      <c r="P20" s="176">
        <f t="shared" ref="P20:Q20" si="5">SUM(P3:P19)</f>
        <v>386391</v>
      </c>
      <c r="Q20" s="176">
        <f t="shared" si="5"/>
        <v>420406</v>
      </c>
      <c r="R20" s="555">
        <f>SUM(R3:R19)*2</f>
        <v>459062</v>
      </c>
      <c r="T20" s="293" t="s">
        <v>551</v>
      </c>
      <c r="U20" s="294">
        <v>0</v>
      </c>
      <c r="V20" s="294">
        <v>2599</v>
      </c>
      <c r="W20" s="294">
        <v>7272</v>
      </c>
      <c r="X20" s="294">
        <v>5303</v>
      </c>
      <c r="Y20" s="295">
        <f t="shared" si="4"/>
        <v>10606</v>
      </c>
    </row>
    <row r="21" spans="1:25" x14ac:dyDescent="0.35">
      <c r="A21" t="s">
        <v>315</v>
      </c>
      <c r="B21" s="6" t="s">
        <v>414</v>
      </c>
      <c r="C21" s="6" t="s">
        <v>412</v>
      </c>
      <c r="D21" s="6" t="s">
        <v>268</v>
      </c>
      <c r="F21">
        <v>26881</v>
      </c>
      <c r="G21">
        <v>30528</v>
      </c>
      <c r="H21">
        <v>27022</v>
      </c>
      <c r="I21" s="157">
        <v>220343.63</v>
      </c>
      <c r="J21" s="157">
        <v>238335.27999999997</v>
      </c>
      <c r="K21" s="157">
        <v>204251.35600000003</v>
      </c>
      <c r="R21" s="556">
        <f>R20/Q20</f>
        <v>1.0919492110007945</v>
      </c>
      <c r="T21" s="303" t="s">
        <v>487</v>
      </c>
      <c r="U21" s="304">
        <f>U17+U18+U19+U20</f>
        <v>0</v>
      </c>
      <c r="V21" s="304">
        <f t="shared" ref="V21:X21" si="6">V17+V18+V19+V20</f>
        <v>20313</v>
      </c>
      <c r="W21" s="304">
        <f t="shared" si="6"/>
        <v>41324</v>
      </c>
      <c r="X21" s="304">
        <f t="shared" si="6"/>
        <v>33810</v>
      </c>
      <c r="Y21" s="301">
        <f t="shared" si="4"/>
        <v>67620</v>
      </c>
    </row>
    <row r="22" spans="1:25" ht="17.5" x14ac:dyDescent="0.35">
      <c r="A22" t="s">
        <v>316</v>
      </c>
      <c r="B22" s="6" t="s">
        <v>415</v>
      </c>
      <c r="C22" s="6" t="s">
        <v>407</v>
      </c>
      <c r="D22" s="6" t="s">
        <v>436</v>
      </c>
      <c r="I22" s="157"/>
      <c r="J22" s="157">
        <v>-541.68000000000006</v>
      </c>
      <c r="K22" s="157">
        <v>-2463.6599999999976</v>
      </c>
      <c r="N22" s="169" t="s">
        <v>466</v>
      </c>
    </row>
    <row r="23" spans="1:25" x14ac:dyDescent="0.35">
      <c r="A23" t="s">
        <v>317</v>
      </c>
      <c r="B23" s="6" t="s">
        <v>415</v>
      </c>
      <c r="C23" s="6" t="s">
        <v>408</v>
      </c>
      <c r="D23" s="6" t="s">
        <v>436</v>
      </c>
      <c r="I23" s="157"/>
      <c r="J23" s="157"/>
      <c r="K23" s="157"/>
      <c r="N23" s="6" t="s">
        <v>429</v>
      </c>
      <c r="O23">
        <v>113633</v>
      </c>
      <c r="P23">
        <v>71391</v>
      </c>
      <c r="Q23">
        <v>44636</v>
      </c>
      <c r="T23" s="290" t="s">
        <v>552</v>
      </c>
      <c r="U23" s="291">
        <v>0</v>
      </c>
      <c r="V23" s="291">
        <v>16838</v>
      </c>
      <c r="W23" s="291">
        <v>69049</v>
      </c>
      <c r="X23" s="291">
        <v>62342</v>
      </c>
      <c r="Y23" s="292">
        <f t="shared" si="4"/>
        <v>124684</v>
      </c>
    </row>
    <row r="24" spans="1:25" x14ac:dyDescent="0.35">
      <c r="A24" t="s">
        <v>318</v>
      </c>
      <c r="B24" s="6" t="s">
        <v>415</v>
      </c>
      <c r="C24" s="6" t="s">
        <v>410</v>
      </c>
      <c r="D24" s="6" t="s">
        <v>436</v>
      </c>
      <c r="I24" s="157"/>
      <c r="J24" s="157">
        <v>14</v>
      </c>
      <c r="K24" s="157">
        <v>69.284000000000006</v>
      </c>
      <c r="N24" s="6" t="s">
        <v>414</v>
      </c>
      <c r="O24">
        <v>26881</v>
      </c>
      <c r="P24">
        <v>30528</v>
      </c>
      <c r="Q24">
        <v>27022</v>
      </c>
      <c r="T24" s="293" t="s">
        <v>553</v>
      </c>
      <c r="U24" s="294">
        <v>0</v>
      </c>
      <c r="V24" s="294">
        <v>4244</v>
      </c>
      <c r="W24" s="294">
        <v>34714</v>
      </c>
      <c r="X24" s="294">
        <v>36572</v>
      </c>
      <c r="Y24" s="295">
        <f t="shared" si="4"/>
        <v>73144</v>
      </c>
    </row>
    <row r="25" spans="1:25" x14ac:dyDescent="0.35">
      <c r="A25" t="s">
        <v>319</v>
      </c>
      <c r="B25" s="6" t="s">
        <v>415</v>
      </c>
      <c r="C25" s="6" t="s">
        <v>411</v>
      </c>
      <c r="D25" s="6" t="s">
        <v>436</v>
      </c>
      <c r="I25" s="157"/>
      <c r="J25" s="157"/>
      <c r="K25" s="157"/>
      <c r="N25" s="6" t="s">
        <v>424</v>
      </c>
      <c r="O25">
        <v>87526</v>
      </c>
      <c r="P25">
        <v>86688</v>
      </c>
      <c r="Q25">
        <v>88518</v>
      </c>
      <c r="T25" s="307" t="s">
        <v>554</v>
      </c>
      <c r="U25" s="308">
        <v>0</v>
      </c>
      <c r="V25" s="309">
        <v>1858.4190165462596</v>
      </c>
      <c r="W25" s="309">
        <v>25327.648916476101</v>
      </c>
      <c r="X25" s="309">
        <v>28979.635299208388</v>
      </c>
      <c r="Y25" s="310">
        <f t="shared" si="4"/>
        <v>57959.270598416777</v>
      </c>
    </row>
    <row r="26" spans="1:25" x14ac:dyDescent="0.35">
      <c r="A26" t="s">
        <v>320</v>
      </c>
      <c r="B26" s="6" t="s">
        <v>415</v>
      </c>
      <c r="C26" s="6" t="s">
        <v>412</v>
      </c>
      <c r="D26" s="6" t="s">
        <v>436</v>
      </c>
      <c r="I26" s="157"/>
      <c r="J26" s="157">
        <v>549.06000000000006</v>
      </c>
      <c r="K26" s="157">
        <v>2512.9359999999997</v>
      </c>
      <c r="N26" s="6" t="s">
        <v>421</v>
      </c>
      <c r="P26">
        <v>39157</v>
      </c>
      <c r="Q26">
        <v>38771</v>
      </c>
      <c r="T26" s="296" t="s">
        <v>555</v>
      </c>
      <c r="U26" s="297">
        <v>0</v>
      </c>
      <c r="V26" s="297">
        <v>2183.8154276392447</v>
      </c>
      <c r="W26" s="297">
        <v>9158.5912555809646</v>
      </c>
      <c r="X26" s="297">
        <v>7314.9585359024613</v>
      </c>
      <c r="Y26" s="311">
        <f t="shared" si="4"/>
        <v>14629.917071804923</v>
      </c>
    </row>
    <row r="27" spans="1:25" x14ac:dyDescent="0.35">
      <c r="A27" t="s">
        <v>321</v>
      </c>
      <c r="B27" s="6" t="s">
        <v>416</v>
      </c>
      <c r="C27" s="6" t="s">
        <v>407</v>
      </c>
      <c r="D27" s="6" t="s">
        <v>434</v>
      </c>
      <c r="F27">
        <v>-13988.600000000002</v>
      </c>
      <c r="G27">
        <v>-14973.719999999979</v>
      </c>
      <c r="H27">
        <v>-15125.53</v>
      </c>
      <c r="I27" s="157">
        <v>-13285.849999999999</v>
      </c>
      <c r="J27" s="157">
        <v>-13883.419999999996</v>
      </c>
      <c r="K27" s="157">
        <v>-14073.710000000003</v>
      </c>
      <c r="N27" s="6" t="s">
        <v>417</v>
      </c>
      <c r="O27" s="177">
        <v>13911</v>
      </c>
      <c r="P27">
        <v>10183</v>
      </c>
      <c r="Q27">
        <v>1376</v>
      </c>
      <c r="T27" s="296" t="s">
        <v>556</v>
      </c>
      <c r="U27" s="297">
        <v>0</v>
      </c>
      <c r="V27" s="297">
        <v>201.76555581449546</v>
      </c>
      <c r="W27" s="297">
        <v>227.75982794293802</v>
      </c>
      <c r="X27" s="297">
        <v>277.40616488914907</v>
      </c>
      <c r="Y27" s="311">
        <f t="shared" si="4"/>
        <v>554.81232977829814</v>
      </c>
    </row>
    <row r="28" spans="1:25" x14ac:dyDescent="0.35">
      <c r="A28" t="s">
        <v>322</v>
      </c>
      <c r="B28" s="6" t="s">
        <v>416</v>
      </c>
      <c r="C28" s="6" t="s">
        <v>408</v>
      </c>
      <c r="D28" s="6" t="s">
        <v>434</v>
      </c>
      <c r="F28">
        <v>-26.240000000000002</v>
      </c>
      <c r="G28">
        <v>-69.17</v>
      </c>
      <c r="H28">
        <v>-88.669999999999987</v>
      </c>
      <c r="I28" s="157">
        <v>-26.240000000000002</v>
      </c>
      <c r="J28" s="157">
        <v>-11.440000000000001</v>
      </c>
      <c r="K28" s="157"/>
      <c r="N28" s="6" t="s">
        <v>418</v>
      </c>
      <c r="P28">
        <v>20687</v>
      </c>
      <c r="Q28">
        <v>97401</v>
      </c>
      <c r="T28" s="303" t="s">
        <v>488</v>
      </c>
      <c r="U28" s="304">
        <f>U23-U25-U27</f>
        <v>0</v>
      </c>
      <c r="V28" s="304">
        <f t="shared" ref="V28:Y28" si="7">V23-V25-V27</f>
        <v>14777.815427639243</v>
      </c>
      <c r="W28" s="304">
        <f t="shared" si="7"/>
        <v>43493.591255580963</v>
      </c>
      <c r="X28" s="304">
        <f t="shared" si="7"/>
        <v>33084.958535902464</v>
      </c>
      <c r="Y28" s="304">
        <f t="shared" si="7"/>
        <v>66169.917071804928</v>
      </c>
    </row>
    <row r="29" spans="1:25" x14ac:dyDescent="0.35">
      <c r="A29" t="s">
        <v>323</v>
      </c>
      <c r="B29" s="6" t="s">
        <v>416</v>
      </c>
      <c r="C29" s="6" t="s">
        <v>410</v>
      </c>
      <c r="D29" s="6" t="s">
        <v>434</v>
      </c>
      <c r="F29">
        <v>-1622.16</v>
      </c>
      <c r="G29">
        <v>-6747.3099999999995</v>
      </c>
      <c r="H29">
        <v>-8701.7999999999993</v>
      </c>
      <c r="I29" s="157">
        <v>513.79</v>
      </c>
      <c r="J29" s="157">
        <v>601</v>
      </c>
      <c r="K29" s="157">
        <v>405.85400000000004</v>
      </c>
      <c r="N29" s="6" t="s">
        <v>425</v>
      </c>
      <c r="O29">
        <v>8988</v>
      </c>
      <c r="P29" s="177">
        <v>10711</v>
      </c>
      <c r="Q29" s="177">
        <v>7122</v>
      </c>
    </row>
    <row r="30" spans="1:25" x14ac:dyDescent="0.35">
      <c r="A30" t="s">
        <v>324</v>
      </c>
      <c r="B30" s="6" t="s">
        <v>416</v>
      </c>
      <c r="C30" s="6" t="s">
        <v>411</v>
      </c>
      <c r="D30" s="6" t="s">
        <v>434</v>
      </c>
      <c r="F30">
        <v>-119</v>
      </c>
      <c r="G30">
        <v>-42.8</v>
      </c>
      <c r="H30">
        <v>-116</v>
      </c>
      <c r="I30" s="157">
        <v>0</v>
      </c>
      <c r="J30" s="157"/>
      <c r="K30" s="157"/>
      <c r="N30" s="6" t="s">
        <v>422</v>
      </c>
      <c r="O30">
        <v>1595</v>
      </c>
      <c r="P30">
        <v>1667</v>
      </c>
      <c r="Q30">
        <v>1699</v>
      </c>
    </row>
    <row r="31" spans="1:25" ht="17.5" x14ac:dyDescent="0.35">
      <c r="A31" t="s">
        <v>325</v>
      </c>
      <c r="B31" s="6" t="s">
        <v>416</v>
      </c>
      <c r="C31" s="6" t="s">
        <v>412</v>
      </c>
      <c r="D31" s="6" t="s">
        <v>434</v>
      </c>
      <c r="F31">
        <v>15756</v>
      </c>
      <c r="G31">
        <v>21833</v>
      </c>
      <c r="H31">
        <v>24032</v>
      </c>
      <c r="I31" s="157">
        <v>12798.300000000003</v>
      </c>
      <c r="J31" s="157">
        <v>13293.86</v>
      </c>
      <c r="K31" s="157">
        <v>13667.855999999998</v>
      </c>
      <c r="N31" s="6" t="s">
        <v>423</v>
      </c>
      <c r="O31">
        <v>23174</v>
      </c>
      <c r="P31">
        <v>24630</v>
      </c>
      <c r="Q31">
        <v>16149</v>
      </c>
      <c r="T31" s="169" t="s">
        <v>558</v>
      </c>
    </row>
    <row r="32" spans="1:25" x14ac:dyDescent="0.35">
      <c r="A32" t="s">
        <v>326</v>
      </c>
      <c r="B32" s="6" t="s">
        <v>417</v>
      </c>
      <c r="C32" s="6" t="s">
        <v>407</v>
      </c>
      <c r="D32" s="6" t="s">
        <v>499</v>
      </c>
      <c r="F32">
        <v>-9504.0799999999963</v>
      </c>
      <c r="G32">
        <v>-6446.810000000004</v>
      </c>
      <c r="I32" s="157">
        <v>-9271.9600000000028</v>
      </c>
      <c r="J32" s="157">
        <v>-6538.53</v>
      </c>
      <c r="K32" s="157"/>
      <c r="N32" s="6" t="s">
        <v>431</v>
      </c>
      <c r="O32" s="177">
        <v>51701</v>
      </c>
      <c r="P32" s="177">
        <v>37106</v>
      </c>
      <c r="Q32" s="177">
        <v>44836</v>
      </c>
      <c r="T32" s="281" t="s">
        <v>532</v>
      </c>
      <c r="U32" s="282"/>
      <c r="V32" s="282"/>
      <c r="W32" s="282"/>
    </row>
    <row r="33" spans="1:23" ht="15" thickBot="1" x14ac:dyDescent="0.4">
      <c r="A33" t="s">
        <v>327</v>
      </c>
      <c r="B33" s="6" t="s">
        <v>417</v>
      </c>
      <c r="C33" s="6" t="s">
        <v>408</v>
      </c>
      <c r="D33" s="6" t="s">
        <v>499</v>
      </c>
      <c r="F33">
        <v>-4349.7300000000005</v>
      </c>
      <c r="G33">
        <v>-5033.6399999999994</v>
      </c>
      <c r="H33">
        <v>-84.239999999999981</v>
      </c>
      <c r="I33" s="157">
        <v>-4286.6000000000013</v>
      </c>
      <c r="J33" s="157">
        <v>-4890.9399999999987</v>
      </c>
      <c r="K33" s="157"/>
      <c r="N33" s="6" t="s">
        <v>430</v>
      </c>
      <c r="O33">
        <v>8117</v>
      </c>
      <c r="P33">
        <v>4680</v>
      </c>
      <c r="Q33">
        <v>2287</v>
      </c>
      <c r="U33" s="240">
        <v>2020</v>
      </c>
      <c r="V33" s="240">
        <v>2021</v>
      </c>
      <c r="W33" s="240">
        <v>2022</v>
      </c>
    </row>
    <row r="34" spans="1:23" ht="15" thickTop="1" x14ac:dyDescent="0.35">
      <c r="A34" t="s">
        <v>328</v>
      </c>
      <c r="B34" s="6" t="s">
        <v>417</v>
      </c>
      <c r="C34" s="6" t="s">
        <v>410</v>
      </c>
      <c r="D34" s="6" t="s">
        <v>499</v>
      </c>
      <c r="F34">
        <v>92.36999999999999</v>
      </c>
      <c r="G34">
        <v>1696</v>
      </c>
      <c r="H34">
        <v>-1040</v>
      </c>
      <c r="I34" s="157">
        <v>-228.43999999999997</v>
      </c>
      <c r="J34" s="157">
        <v>118.61000000000001</v>
      </c>
      <c r="K34" s="157">
        <v>9.5</v>
      </c>
      <c r="N34" s="6" t="s">
        <v>416</v>
      </c>
      <c r="O34">
        <v>15756</v>
      </c>
      <c r="P34">
        <v>21833</v>
      </c>
      <c r="Q34">
        <v>24032</v>
      </c>
      <c r="T34" t="s">
        <v>529</v>
      </c>
      <c r="U34" s="180">
        <v>8814</v>
      </c>
      <c r="V34" s="180">
        <v>8122.2</v>
      </c>
      <c r="W34" s="180">
        <v>6066.79</v>
      </c>
    </row>
    <row r="35" spans="1:23" x14ac:dyDescent="0.35">
      <c r="A35" t="s">
        <v>329</v>
      </c>
      <c r="B35" s="6" t="s">
        <v>417</v>
      </c>
      <c r="C35" s="6" t="s">
        <v>411</v>
      </c>
      <c r="D35" s="6" t="s">
        <v>499</v>
      </c>
      <c r="F35">
        <v>-149.56</v>
      </c>
      <c r="G35">
        <v>-423.73</v>
      </c>
      <c r="H35">
        <v>-336</v>
      </c>
      <c r="I35" s="157">
        <v>-124</v>
      </c>
      <c r="J35" s="157">
        <v>-429</v>
      </c>
      <c r="K35" s="157">
        <v>-336</v>
      </c>
      <c r="N35" s="6" t="s">
        <v>413</v>
      </c>
      <c r="O35">
        <v>1677</v>
      </c>
      <c r="P35">
        <v>1585</v>
      </c>
      <c r="Q35">
        <v>1410</v>
      </c>
      <c r="T35" t="s">
        <v>530</v>
      </c>
      <c r="U35" s="180"/>
      <c r="V35" s="180"/>
      <c r="W35" s="180">
        <v>60</v>
      </c>
    </row>
    <row r="36" spans="1:23" x14ac:dyDescent="0.35">
      <c r="A36" t="s">
        <v>330</v>
      </c>
      <c r="B36" s="6" t="s">
        <v>417</v>
      </c>
      <c r="C36" s="6" t="s">
        <v>412</v>
      </c>
      <c r="D36" s="6" t="s">
        <v>499</v>
      </c>
      <c r="F36">
        <v>13911</v>
      </c>
      <c r="G36">
        <v>10183</v>
      </c>
      <c r="H36">
        <v>1376</v>
      </c>
      <c r="I36" s="157">
        <v>13911</v>
      </c>
      <c r="J36" s="157">
        <v>11739.859999999999</v>
      </c>
      <c r="K36" s="157">
        <v>326.5</v>
      </c>
      <c r="N36" s="6" t="s">
        <v>419</v>
      </c>
      <c r="O36">
        <v>2784</v>
      </c>
      <c r="P36">
        <v>2778</v>
      </c>
      <c r="Q36">
        <v>2457</v>
      </c>
      <c r="T36" s="280" t="s">
        <v>531</v>
      </c>
      <c r="U36" s="180">
        <v>54904.06</v>
      </c>
      <c r="V36" s="180">
        <v>65756.740000000005</v>
      </c>
      <c r="W36" s="180">
        <v>48729.43</v>
      </c>
    </row>
    <row r="37" spans="1:23" x14ac:dyDescent="0.35">
      <c r="A37" t="s">
        <v>331</v>
      </c>
      <c r="B37" s="6" t="s">
        <v>418</v>
      </c>
      <c r="C37" s="6" t="s">
        <v>407</v>
      </c>
      <c r="D37" s="6" t="s">
        <v>499</v>
      </c>
      <c r="G37">
        <v>-3936.2299999999973</v>
      </c>
      <c r="H37">
        <v>-23528.709999999959</v>
      </c>
      <c r="I37" s="157"/>
      <c r="J37" s="157">
        <v>-2713.0899999999988</v>
      </c>
      <c r="K37" s="157">
        <v>-8942.3599999999897</v>
      </c>
      <c r="N37" s="6" t="s">
        <v>395</v>
      </c>
      <c r="O37">
        <v>2839</v>
      </c>
      <c r="P37">
        <v>2594</v>
      </c>
      <c r="Q37">
        <v>2960</v>
      </c>
      <c r="T37" s="280" t="s">
        <v>533</v>
      </c>
      <c r="U37" s="180">
        <v>466442.94</v>
      </c>
      <c r="V37" s="180">
        <v>505454.06</v>
      </c>
      <c r="W37" s="180">
        <v>540273.77800000005</v>
      </c>
    </row>
    <row r="38" spans="1:23" x14ac:dyDescent="0.35">
      <c r="A38" t="s">
        <v>332</v>
      </c>
      <c r="B38" s="6" t="s">
        <v>418</v>
      </c>
      <c r="C38" s="6" t="s">
        <v>408</v>
      </c>
      <c r="D38" s="6" t="s">
        <v>499</v>
      </c>
      <c r="G38">
        <v>-1488.1900000000003</v>
      </c>
      <c r="H38">
        <v>-8674.760000000002</v>
      </c>
      <c r="I38" s="157"/>
      <c r="J38" s="157">
        <v>-1163.57</v>
      </c>
      <c r="K38" s="157">
        <v>-7660.9300000000048</v>
      </c>
      <c r="N38" s="6" t="s">
        <v>426</v>
      </c>
      <c r="O38">
        <v>13400</v>
      </c>
      <c r="P38">
        <v>14054</v>
      </c>
      <c r="Q38">
        <v>13642</v>
      </c>
      <c r="T38" s="280" t="s">
        <v>534</v>
      </c>
      <c r="U38" s="180">
        <v>177397</v>
      </c>
      <c r="V38" s="180">
        <v>152066</v>
      </c>
      <c r="W38" s="180">
        <v>129128</v>
      </c>
    </row>
    <row r="39" spans="1:23" x14ac:dyDescent="0.35">
      <c r="A39" t="s">
        <v>333</v>
      </c>
      <c r="B39" s="6" t="s">
        <v>418</v>
      </c>
      <c r="C39" s="6" t="s">
        <v>410</v>
      </c>
      <c r="D39" s="6" t="s">
        <v>499</v>
      </c>
      <c r="G39">
        <v>-13596.7</v>
      </c>
      <c r="H39">
        <v>-60961.459999999992</v>
      </c>
      <c r="I39" s="157"/>
      <c r="J39" s="157">
        <v>92.5</v>
      </c>
      <c r="K39" s="157">
        <v>588.15199999999993</v>
      </c>
      <c r="N39" s="6" t="s">
        <v>420</v>
      </c>
      <c r="O39">
        <v>2223</v>
      </c>
      <c r="P39">
        <v>2352</v>
      </c>
      <c r="Q39">
        <v>1822</v>
      </c>
      <c r="T39" s="283" t="s">
        <v>12</v>
      </c>
      <c r="U39" s="284">
        <f t="shared" ref="U39:V39" si="8">SUM(U34:U38)</f>
        <v>707558</v>
      </c>
      <c r="V39" s="284">
        <f t="shared" si="8"/>
        <v>731399</v>
      </c>
      <c r="W39" s="284">
        <f>SUM(W34:W38)</f>
        <v>724257.99800000002</v>
      </c>
    </row>
    <row r="40" spans="1:23" x14ac:dyDescent="0.35">
      <c r="A40" t="s">
        <v>334</v>
      </c>
      <c r="B40" s="6" t="s">
        <v>418</v>
      </c>
      <c r="C40" s="6" t="s">
        <v>411</v>
      </c>
      <c r="D40" s="6" t="s">
        <v>499</v>
      </c>
      <c r="G40">
        <v>-1640.7</v>
      </c>
      <c r="H40">
        <v>-4143.3100000000013</v>
      </c>
      <c r="I40" s="157"/>
      <c r="J40" s="157">
        <v>-1037</v>
      </c>
      <c r="K40" s="157">
        <v>-4096</v>
      </c>
      <c r="O40" s="176">
        <f>SUM(O23:O39)</f>
        <v>374205</v>
      </c>
      <c r="P40" s="176">
        <f t="shared" ref="P40:Q40" si="9">SUM(P23:P39)</f>
        <v>382624</v>
      </c>
      <c r="Q40" s="176">
        <f t="shared" si="9"/>
        <v>416140</v>
      </c>
      <c r="T40" s="285" t="s">
        <v>535</v>
      </c>
      <c r="U40" s="286">
        <f>U38/U39</f>
        <v>0.25071725568787295</v>
      </c>
      <c r="V40" s="286">
        <f t="shared" ref="V40:W40" si="10">V38/V39</f>
        <v>0.20791114015742435</v>
      </c>
      <c r="W40" s="286">
        <f t="shared" si="10"/>
        <v>0.17829005735052994</v>
      </c>
    </row>
    <row r="41" spans="1:23" x14ac:dyDescent="0.35">
      <c r="A41" t="s">
        <v>335</v>
      </c>
      <c r="B41" s="6" t="s">
        <v>418</v>
      </c>
      <c r="C41" s="6" t="s">
        <v>412</v>
      </c>
      <c r="D41" s="6" t="s">
        <v>499</v>
      </c>
      <c r="G41">
        <v>20687</v>
      </c>
      <c r="H41">
        <v>97401</v>
      </c>
      <c r="I41" s="157"/>
      <c r="J41" s="157">
        <v>4796.71</v>
      </c>
      <c r="K41" s="157">
        <v>19919.828000000001</v>
      </c>
      <c r="L41">
        <f>H41/365</f>
        <v>266.85205479452054</v>
      </c>
    </row>
    <row r="42" spans="1:23" x14ac:dyDescent="0.35">
      <c r="A42" t="s">
        <v>336</v>
      </c>
      <c r="B42" s="6" t="s">
        <v>419</v>
      </c>
      <c r="C42" s="6" t="s">
        <v>407</v>
      </c>
      <c r="D42" s="6" t="s">
        <v>433</v>
      </c>
      <c r="F42">
        <v>-1676.7199999999993</v>
      </c>
      <c r="G42">
        <v>-2017.0699999999995</v>
      </c>
      <c r="H42" s="449">
        <v>-1788.3700000000003</v>
      </c>
      <c r="I42" s="157"/>
      <c r="J42" s="157"/>
      <c r="K42" s="157"/>
      <c r="L42" s="449">
        <f>ABS(AVERAGE(F42:H42)+AVERAGE(F43:H43))*1000/365/130</f>
        <v>41.733192834562693</v>
      </c>
      <c r="M42" s="449">
        <f>SUM(F42:H42,F43:H43,F12:H12)/3/81*1000/365</f>
        <v>-115.3267942950561</v>
      </c>
      <c r="T42" t="s">
        <v>559</v>
      </c>
      <c r="U42" s="3">
        <f>U34+U36</f>
        <v>63718.06</v>
      </c>
      <c r="V42" s="3">
        <f t="shared" ref="V42:W42" si="11">V34+V36</f>
        <v>73878.94</v>
      </c>
      <c r="W42" s="3">
        <f t="shared" si="11"/>
        <v>54796.22</v>
      </c>
    </row>
    <row r="43" spans="1:23" x14ac:dyDescent="0.35">
      <c r="A43" t="s">
        <v>337</v>
      </c>
      <c r="B43" s="6" t="s">
        <v>419</v>
      </c>
      <c r="C43" s="6" t="s">
        <v>408</v>
      </c>
      <c r="D43" s="6" t="s">
        <v>433</v>
      </c>
      <c r="F43">
        <v>-180.64</v>
      </c>
      <c r="G43">
        <v>-123.07000000000001</v>
      </c>
      <c r="H43">
        <v>-154.85000000000002</v>
      </c>
      <c r="I43" s="157"/>
      <c r="J43" s="157"/>
      <c r="K43" s="157"/>
      <c r="O43">
        <v>315792</v>
      </c>
      <c r="P43">
        <v>330469</v>
      </c>
      <c r="Q43">
        <v>364169</v>
      </c>
      <c r="T43" t="s">
        <v>560</v>
      </c>
      <c r="U43" s="3">
        <f>U10+U27</f>
        <v>62057</v>
      </c>
      <c r="V43" s="3">
        <f t="shared" ref="V43:W43" si="12">V10+V27</f>
        <v>71742.765555814491</v>
      </c>
      <c r="W43" s="3">
        <f t="shared" si="12"/>
        <v>49956.759827942937</v>
      </c>
    </row>
    <row r="44" spans="1:23" x14ac:dyDescent="0.35">
      <c r="A44" t="s">
        <v>338</v>
      </c>
      <c r="B44" s="6" t="s">
        <v>419</v>
      </c>
      <c r="C44" s="6" t="s">
        <v>410</v>
      </c>
      <c r="D44" s="6" t="s">
        <v>433</v>
      </c>
      <c r="F44">
        <v>-964.64</v>
      </c>
      <c r="G44">
        <v>-509.85999999999996</v>
      </c>
      <c r="H44">
        <v>-411.78000000000009</v>
      </c>
      <c r="I44" s="157"/>
      <c r="J44" s="157"/>
      <c r="K44" s="157"/>
    </row>
    <row r="45" spans="1:23" x14ac:dyDescent="0.35">
      <c r="A45" t="s">
        <v>339</v>
      </c>
      <c r="B45" s="6" t="s">
        <v>419</v>
      </c>
      <c r="C45" s="6" t="s">
        <v>411</v>
      </c>
      <c r="D45" s="6" t="s">
        <v>433</v>
      </c>
      <c r="F45">
        <v>38</v>
      </c>
      <c r="G45">
        <v>-128</v>
      </c>
      <c r="H45">
        <v>-102</v>
      </c>
      <c r="I45" s="157"/>
      <c r="J45" s="157"/>
      <c r="K45" s="157"/>
    </row>
    <row r="46" spans="1:23" x14ac:dyDescent="0.35">
      <c r="A46" t="s">
        <v>340</v>
      </c>
      <c r="B46" s="6" t="s">
        <v>419</v>
      </c>
      <c r="C46" s="6" t="s">
        <v>412</v>
      </c>
      <c r="D46" s="6" t="s">
        <v>433</v>
      </c>
      <c r="F46">
        <v>2784</v>
      </c>
      <c r="G46">
        <v>2778</v>
      </c>
      <c r="H46">
        <v>2457</v>
      </c>
      <c r="I46" s="157"/>
      <c r="J46" s="157"/>
      <c r="K46" s="157"/>
    </row>
    <row r="47" spans="1:23" x14ac:dyDescent="0.35">
      <c r="A47" t="s">
        <v>341</v>
      </c>
      <c r="B47" s="6" t="s">
        <v>420</v>
      </c>
      <c r="C47" s="6" t="s">
        <v>407</v>
      </c>
      <c r="D47" s="6" t="s">
        <v>435</v>
      </c>
      <c r="F47">
        <v>-2140.5500000000011</v>
      </c>
      <c r="G47">
        <v>-2283.2600000000011</v>
      </c>
      <c r="H47">
        <v>-1689.4700000000009</v>
      </c>
      <c r="I47" s="157"/>
      <c r="J47" s="157"/>
      <c r="K47" s="157">
        <v>-438.28000000000003</v>
      </c>
    </row>
    <row r="48" spans="1:23" x14ac:dyDescent="0.35">
      <c r="A48" t="s">
        <v>342</v>
      </c>
      <c r="B48" s="6" t="s">
        <v>420</v>
      </c>
      <c r="C48" s="6" t="s">
        <v>408</v>
      </c>
      <c r="D48" s="6" t="s">
        <v>435</v>
      </c>
      <c r="F48">
        <v>-98.95</v>
      </c>
      <c r="G48">
        <v>-109.65</v>
      </c>
      <c r="H48">
        <v>-121.11</v>
      </c>
      <c r="I48" s="157"/>
      <c r="J48" s="157"/>
      <c r="K48" s="157"/>
    </row>
    <row r="49" spans="1:12" x14ac:dyDescent="0.35">
      <c r="A49" t="s">
        <v>343</v>
      </c>
      <c r="B49" s="6" t="s">
        <v>420</v>
      </c>
      <c r="C49" s="6" t="s">
        <v>410</v>
      </c>
      <c r="D49" s="6" t="s">
        <v>435</v>
      </c>
      <c r="F49">
        <v>89.499999999999986</v>
      </c>
      <c r="G49">
        <v>107.91000000000001</v>
      </c>
      <c r="H49">
        <v>47.58</v>
      </c>
      <c r="I49" s="157"/>
      <c r="J49" s="157"/>
      <c r="K49" s="157">
        <v>16.939999999999998</v>
      </c>
    </row>
    <row r="50" spans="1:12" x14ac:dyDescent="0.35">
      <c r="A50" t="s">
        <v>344</v>
      </c>
      <c r="B50" s="6" t="s">
        <v>420</v>
      </c>
      <c r="C50" s="6" t="s">
        <v>411</v>
      </c>
      <c r="D50" s="6" t="s">
        <v>435</v>
      </c>
      <c r="F50">
        <v>-73</v>
      </c>
      <c r="G50">
        <v>-67</v>
      </c>
      <c r="H50">
        <v>-59</v>
      </c>
      <c r="I50" s="157"/>
      <c r="J50" s="157"/>
      <c r="K50" s="157"/>
    </row>
    <row r="51" spans="1:12" x14ac:dyDescent="0.35">
      <c r="A51" t="s">
        <v>345</v>
      </c>
      <c r="B51" s="6" t="s">
        <v>420</v>
      </c>
      <c r="C51" s="6" t="s">
        <v>412</v>
      </c>
      <c r="D51" s="6" t="s">
        <v>435</v>
      </c>
      <c r="F51">
        <v>2223</v>
      </c>
      <c r="G51">
        <v>2352</v>
      </c>
      <c r="H51">
        <v>1822</v>
      </c>
      <c r="I51" s="157"/>
      <c r="J51" s="157"/>
      <c r="K51" s="157">
        <v>421.34</v>
      </c>
    </row>
    <row r="52" spans="1:12" x14ac:dyDescent="0.35">
      <c r="A52" t="s">
        <v>346</v>
      </c>
      <c r="B52" s="6" t="s">
        <v>421</v>
      </c>
      <c r="C52" s="6" t="s">
        <v>407</v>
      </c>
      <c r="D52" s="6" t="s">
        <v>436</v>
      </c>
      <c r="F52">
        <v>0</v>
      </c>
      <c r="G52">
        <v>-8179.9499999999971</v>
      </c>
      <c r="H52">
        <v>-24323.700000000044</v>
      </c>
      <c r="I52" s="157"/>
      <c r="J52" s="157">
        <v>-771.46999999999935</v>
      </c>
      <c r="K52" s="157">
        <v>-7893.4800000000023</v>
      </c>
    </row>
    <row r="53" spans="1:12" x14ac:dyDescent="0.35">
      <c r="A53" t="s">
        <v>347</v>
      </c>
      <c r="B53" s="6" t="s">
        <v>421</v>
      </c>
      <c r="C53" s="6" t="s">
        <v>408</v>
      </c>
      <c r="D53" s="6" t="s">
        <v>436</v>
      </c>
      <c r="F53">
        <v>2.8421709430404007E-14</v>
      </c>
      <c r="G53">
        <v>-12.24</v>
      </c>
      <c r="H53">
        <v>-117.20000000000002</v>
      </c>
      <c r="I53" s="157"/>
      <c r="J53" s="157">
        <v>-12.24</v>
      </c>
      <c r="K53" s="157">
        <v>-181.94999999999996</v>
      </c>
    </row>
    <row r="54" spans="1:12" x14ac:dyDescent="0.35">
      <c r="A54" t="s">
        <v>348</v>
      </c>
      <c r="B54" s="6" t="s">
        <v>421</v>
      </c>
      <c r="C54" s="6" t="s">
        <v>410</v>
      </c>
      <c r="D54" s="6" t="s">
        <v>436</v>
      </c>
      <c r="G54">
        <v>-27070.81</v>
      </c>
      <c r="H54">
        <v>-12529.869999999999</v>
      </c>
      <c r="I54" s="157"/>
      <c r="J54" s="157">
        <v>93</v>
      </c>
      <c r="K54" s="157">
        <v>270.75</v>
      </c>
    </row>
    <row r="55" spans="1:12" x14ac:dyDescent="0.35">
      <c r="A55" t="s">
        <v>349</v>
      </c>
      <c r="B55" s="6" t="s">
        <v>421</v>
      </c>
      <c r="C55" s="6" t="s">
        <v>411</v>
      </c>
      <c r="D55" s="6" t="s">
        <v>436</v>
      </c>
      <c r="G55">
        <v>-3894</v>
      </c>
      <c r="H55">
        <v>-1837</v>
      </c>
      <c r="I55" s="157"/>
      <c r="J55" s="157">
        <v>-3465.0699999999997</v>
      </c>
      <c r="K55" s="157">
        <v>-1673.1100000000001</v>
      </c>
    </row>
    <row r="56" spans="1:12" x14ac:dyDescent="0.35">
      <c r="A56" t="s">
        <v>350</v>
      </c>
      <c r="B56" s="6" t="s">
        <v>421</v>
      </c>
      <c r="C56" s="6" t="s">
        <v>412</v>
      </c>
      <c r="D56" s="6" t="s">
        <v>436</v>
      </c>
      <c r="G56">
        <v>39157</v>
      </c>
      <c r="H56">
        <v>38771</v>
      </c>
      <c r="I56" s="157"/>
      <c r="J56" s="157">
        <v>4222.78</v>
      </c>
      <c r="K56" s="157">
        <v>9721.909999999998</v>
      </c>
    </row>
    <row r="57" spans="1:12" x14ac:dyDescent="0.35">
      <c r="A57" t="s">
        <v>351</v>
      </c>
      <c r="B57" s="6" t="s">
        <v>422</v>
      </c>
      <c r="C57" s="6" t="s">
        <v>407</v>
      </c>
      <c r="D57" s="6" t="s">
        <v>282</v>
      </c>
      <c r="F57">
        <v>-6873.6100000000015</v>
      </c>
      <c r="G57">
        <v>-6942.5300000000025</v>
      </c>
      <c r="H57">
        <v>-6217.4100000000044</v>
      </c>
      <c r="I57" s="157">
        <v>-5200.6899999999987</v>
      </c>
      <c r="J57" s="157">
        <v>-4968.2499999999982</v>
      </c>
      <c r="K57" s="157">
        <v>-4562.5800000000036</v>
      </c>
    </row>
    <row r="58" spans="1:12" x14ac:dyDescent="0.35">
      <c r="A58" t="s">
        <v>352</v>
      </c>
      <c r="B58" s="6" t="s">
        <v>422</v>
      </c>
      <c r="C58" s="6" t="s">
        <v>408</v>
      </c>
      <c r="D58" s="6" t="s">
        <v>282</v>
      </c>
      <c r="F58">
        <v>-680.79</v>
      </c>
      <c r="G58">
        <v>-670.93999999999994</v>
      </c>
      <c r="H58">
        <v>-789.57000000000016</v>
      </c>
      <c r="I58" s="157">
        <v>-609.8900000000001</v>
      </c>
      <c r="J58" s="157">
        <v>-606.75000000000011</v>
      </c>
      <c r="K58" s="157">
        <v>-731.19000000000028</v>
      </c>
    </row>
    <row r="59" spans="1:12" x14ac:dyDescent="0.35">
      <c r="A59" t="s">
        <v>353</v>
      </c>
      <c r="B59" s="6" t="s">
        <v>422</v>
      </c>
      <c r="C59" s="6" t="s">
        <v>410</v>
      </c>
      <c r="D59" s="6" t="s">
        <v>282</v>
      </c>
      <c r="F59">
        <v>6584.3999999999987</v>
      </c>
      <c r="G59">
        <v>6816.47</v>
      </c>
      <c r="H59">
        <v>6211.98</v>
      </c>
      <c r="I59" s="157">
        <v>262.45000000000005</v>
      </c>
      <c r="J59" s="157">
        <v>239</v>
      </c>
      <c r="K59" s="157">
        <v>149.17000000000002</v>
      </c>
    </row>
    <row r="60" spans="1:12" x14ac:dyDescent="0.35">
      <c r="A60" t="s">
        <v>354</v>
      </c>
      <c r="B60" s="6" t="s">
        <v>422</v>
      </c>
      <c r="C60" s="6" t="s">
        <v>411</v>
      </c>
      <c r="D60" s="6" t="s">
        <v>282</v>
      </c>
      <c r="F60">
        <v>-625</v>
      </c>
      <c r="G60">
        <v>-870</v>
      </c>
      <c r="H60">
        <v>-904</v>
      </c>
      <c r="I60" s="157">
        <v>0</v>
      </c>
      <c r="J60" s="157"/>
      <c r="K60" s="157"/>
    </row>
    <row r="61" spans="1:12" x14ac:dyDescent="0.35">
      <c r="A61" t="s">
        <v>355</v>
      </c>
      <c r="B61" s="6" t="s">
        <v>422</v>
      </c>
      <c r="C61" s="6" t="s">
        <v>412</v>
      </c>
      <c r="D61" s="6" t="s">
        <v>282</v>
      </c>
      <c r="F61">
        <v>1595</v>
      </c>
      <c r="G61">
        <v>1667</v>
      </c>
      <c r="H61">
        <v>1699</v>
      </c>
      <c r="I61" s="157">
        <v>5548.130000000001</v>
      </c>
      <c r="J61" s="157">
        <v>5336.0000000000009</v>
      </c>
      <c r="K61" s="157">
        <v>5144.6000000000004</v>
      </c>
      <c r="L61">
        <f>H61/365</f>
        <v>4.6547945205479451</v>
      </c>
    </row>
    <row r="62" spans="1:12" x14ac:dyDescent="0.35">
      <c r="A62" t="s">
        <v>356</v>
      </c>
      <c r="B62" s="6" t="s">
        <v>423</v>
      </c>
      <c r="C62" s="6" t="s">
        <v>407</v>
      </c>
      <c r="D62" s="6" t="s">
        <v>282</v>
      </c>
      <c r="F62">
        <v>-7336.2399999999961</v>
      </c>
      <c r="G62">
        <v>-7525.7700000000041</v>
      </c>
      <c r="H62">
        <v>-7207.4299999999866</v>
      </c>
      <c r="I62" s="157">
        <v>-7095.3399999999956</v>
      </c>
      <c r="J62" s="157">
        <v>-7321.1000000000022</v>
      </c>
      <c r="K62" s="157">
        <v>-7004.1199999999899</v>
      </c>
    </row>
    <row r="63" spans="1:12" x14ac:dyDescent="0.35">
      <c r="A63" t="s">
        <v>357</v>
      </c>
      <c r="B63" s="6" t="s">
        <v>423</v>
      </c>
      <c r="C63" s="6" t="s">
        <v>408</v>
      </c>
      <c r="D63" s="6" t="s">
        <v>282</v>
      </c>
      <c r="F63">
        <v>-1249.9400000000003</v>
      </c>
      <c r="G63">
        <v>-1933.2099999999996</v>
      </c>
      <c r="H63">
        <v>-2031.94</v>
      </c>
      <c r="I63" s="157">
        <v>-950.17999999999984</v>
      </c>
      <c r="J63" s="157">
        <v>-1679.9999999999998</v>
      </c>
      <c r="K63" s="157">
        <v>-1703.3400000000001</v>
      </c>
    </row>
    <row r="64" spans="1:12" x14ac:dyDescent="0.35">
      <c r="A64" t="s">
        <v>358</v>
      </c>
      <c r="B64" s="6" t="s">
        <v>423</v>
      </c>
      <c r="C64" s="6" t="s">
        <v>410</v>
      </c>
      <c r="D64" s="6" t="s">
        <v>282</v>
      </c>
      <c r="F64">
        <v>-14327.82</v>
      </c>
      <c r="G64">
        <v>-14686.02</v>
      </c>
      <c r="H64">
        <v>-6257.63</v>
      </c>
      <c r="I64" s="157">
        <v>326.40000000000003</v>
      </c>
      <c r="J64" s="157">
        <v>465.38</v>
      </c>
      <c r="K64" s="157">
        <v>251.23</v>
      </c>
    </row>
    <row r="65" spans="1:12" x14ac:dyDescent="0.35">
      <c r="A65" t="s">
        <v>359</v>
      </c>
      <c r="B65" s="6" t="s">
        <v>423</v>
      </c>
      <c r="C65" s="6" t="s">
        <v>411</v>
      </c>
      <c r="D65" s="6" t="s">
        <v>282</v>
      </c>
      <c r="F65">
        <v>-260</v>
      </c>
      <c r="G65">
        <v>-485</v>
      </c>
      <c r="H65">
        <v>-652</v>
      </c>
      <c r="I65" s="157">
        <v>0</v>
      </c>
      <c r="J65" s="157"/>
      <c r="K65" s="157"/>
    </row>
    <row r="66" spans="1:12" x14ac:dyDescent="0.35">
      <c r="A66" t="s">
        <v>360</v>
      </c>
      <c r="B66" s="6" t="s">
        <v>423</v>
      </c>
      <c r="C66" s="6" t="s">
        <v>412</v>
      </c>
      <c r="D66" s="6" t="s">
        <v>282</v>
      </c>
      <c r="F66">
        <v>23174</v>
      </c>
      <c r="G66">
        <v>24630</v>
      </c>
      <c r="H66">
        <v>16149</v>
      </c>
      <c r="I66" s="157">
        <v>7719.119999999999</v>
      </c>
      <c r="J66" s="157">
        <v>8535.7200000000012</v>
      </c>
      <c r="K66" s="157">
        <v>8456.23</v>
      </c>
      <c r="L66">
        <f>H66/365</f>
        <v>44.243835616438353</v>
      </c>
    </row>
    <row r="67" spans="1:12" x14ac:dyDescent="0.35">
      <c r="A67" t="s">
        <v>361</v>
      </c>
      <c r="B67" s="6" t="s">
        <v>424</v>
      </c>
      <c r="C67" s="6" t="s">
        <v>407</v>
      </c>
      <c r="D67" s="6" t="s">
        <v>268</v>
      </c>
      <c r="F67">
        <v>-71609.180000000037</v>
      </c>
      <c r="G67">
        <v>-72175.700000000419</v>
      </c>
      <c r="H67">
        <v>-69126.440000000148</v>
      </c>
      <c r="I67" s="157">
        <v>-64909.749999999993</v>
      </c>
      <c r="J67" s="157">
        <v>-64417.780000000217</v>
      </c>
      <c r="K67" s="157">
        <v>-62467.690000000184</v>
      </c>
    </row>
    <row r="68" spans="1:12" x14ac:dyDescent="0.35">
      <c r="A68" t="s">
        <v>362</v>
      </c>
      <c r="B68" s="6" t="s">
        <v>424</v>
      </c>
      <c r="C68" s="6" t="s">
        <v>408</v>
      </c>
      <c r="D68" s="6" t="s">
        <v>268</v>
      </c>
      <c r="F68">
        <v>-856.98000000000013</v>
      </c>
      <c r="G68">
        <v>-669.22</v>
      </c>
      <c r="H68">
        <v>-2764.4300000000003</v>
      </c>
      <c r="I68" s="157">
        <v>-427.13000000000005</v>
      </c>
      <c r="J68" s="157">
        <v>-433.21</v>
      </c>
      <c r="K68" s="157">
        <v>-791.81</v>
      </c>
    </row>
    <row r="69" spans="1:12" x14ac:dyDescent="0.35">
      <c r="A69" t="s">
        <v>363</v>
      </c>
      <c r="B69" s="6" t="s">
        <v>424</v>
      </c>
      <c r="C69" s="6" t="s">
        <v>410</v>
      </c>
      <c r="D69" s="6" t="s">
        <v>268</v>
      </c>
      <c r="F69">
        <v>-11197.94</v>
      </c>
      <c r="G69">
        <v>-10358.08</v>
      </c>
      <c r="H69">
        <v>-12898.629999999997</v>
      </c>
      <c r="I69" s="157">
        <v>3046.4300000000003</v>
      </c>
      <c r="J69" s="157">
        <v>2986.0658400000002</v>
      </c>
      <c r="K69" s="157">
        <v>2791.9699999999993</v>
      </c>
    </row>
    <row r="70" spans="1:12" x14ac:dyDescent="0.35">
      <c r="A70" t="s">
        <v>364</v>
      </c>
      <c r="B70" s="6" t="s">
        <v>424</v>
      </c>
      <c r="C70" s="6" t="s">
        <v>411</v>
      </c>
      <c r="D70" s="6" t="s">
        <v>268</v>
      </c>
      <c r="F70">
        <v>-3408</v>
      </c>
      <c r="G70">
        <v>-3485</v>
      </c>
      <c r="H70">
        <v>-3728.5</v>
      </c>
      <c r="I70" s="157">
        <v>-2805</v>
      </c>
      <c r="J70" s="157">
        <v>-2896</v>
      </c>
      <c r="K70" s="157">
        <v>-2704</v>
      </c>
    </row>
    <row r="71" spans="1:12" x14ac:dyDescent="0.35">
      <c r="A71" t="s">
        <v>365</v>
      </c>
      <c r="B71" s="6" t="s">
        <v>424</v>
      </c>
      <c r="C71" s="6" t="s">
        <v>412</v>
      </c>
      <c r="D71" s="6" t="s">
        <v>268</v>
      </c>
      <c r="F71">
        <v>87526</v>
      </c>
      <c r="G71">
        <v>86688</v>
      </c>
      <c r="H71">
        <v>88518</v>
      </c>
      <c r="I71" s="157">
        <v>65549.349999999991</v>
      </c>
      <c r="J71" s="157">
        <v>64760.924159999995</v>
      </c>
      <c r="K71" s="157">
        <v>63171.53</v>
      </c>
    </row>
    <row r="72" spans="1:12" x14ac:dyDescent="0.35">
      <c r="A72" t="s">
        <v>366</v>
      </c>
      <c r="B72" s="6" t="s">
        <v>425</v>
      </c>
      <c r="C72" s="6" t="s">
        <v>407</v>
      </c>
      <c r="D72" s="6" t="s">
        <v>499</v>
      </c>
      <c r="F72">
        <v>-5510.2299999999968</v>
      </c>
      <c r="G72">
        <v>-5398.3400000000038</v>
      </c>
      <c r="H72">
        <v>-5942.85</v>
      </c>
      <c r="I72" s="157"/>
      <c r="J72" s="157">
        <v>-327.18999999999988</v>
      </c>
      <c r="K72" s="157">
        <v>-6547.0899999999983</v>
      </c>
    </row>
    <row r="73" spans="1:12" x14ac:dyDescent="0.35">
      <c r="A73" t="s">
        <v>367</v>
      </c>
      <c r="B73" s="6" t="s">
        <v>425</v>
      </c>
      <c r="C73" s="6" t="s">
        <v>408</v>
      </c>
      <c r="D73" s="6" t="s">
        <v>499</v>
      </c>
      <c r="F73">
        <v>-491.93</v>
      </c>
      <c r="G73">
        <v>-0.37</v>
      </c>
      <c r="I73" s="157"/>
      <c r="J73" s="157">
        <v>-1589.4</v>
      </c>
      <c r="K73" s="157">
        <v>-28795.619999999995</v>
      </c>
    </row>
    <row r="74" spans="1:12" x14ac:dyDescent="0.35">
      <c r="A74" t="s">
        <v>368</v>
      </c>
      <c r="B74" s="6" t="s">
        <v>425</v>
      </c>
      <c r="C74" s="6" t="s">
        <v>410</v>
      </c>
      <c r="D74" s="6" t="s">
        <v>499</v>
      </c>
      <c r="F74">
        <v>-2122.84</v>
      </c>
      <c r="G74">
        <v>-4212.79</v>
      </c>
      <c r="H74">
        <v>-944.73</v>
      </c>
      <c r="I74" s="157"/>
      <c r="J74" s="157">
        <v>102</v>
      </c>
      <c r="K74" s="157">
        <v>927.82800000000009</v>
      </c>
    </row>
    <row r="75" spans="1:12" x14ac:dyDescent="0.35">
      <c r="A75" t="s">
        <v>369</v>
      </c>
      <c r="B75" s="6" t="s">
        <v>425</v>
      </c>
      <c r="C75" s="6" t="s">
        <v>411</v>
      </c>
      <c r="D75" s="6" t="s">
        <v>499</v>
      </c>
      <c r="F75">
        <v>-863</v>
      </c>
      <c r="G75">
        <v>-1099.5</v>
      </c>
      <c r="H75">
        <v>-216</v>
      </c>
      <c r="I75" s="157"/>
      <c r="J75" s="157">
        <v>-78.650000000000006</v>
      </c>
      <c r="K75" s="157">
        <v>-7.0699999999999985</v>
      </c>
    </row>
    <row r="76" spans="1:12" x14ac:dyDescent="0.35">
      <c r="A76" t="s">
        <v>370</v>
      </c>
      <c r="B76" s="6" t="s">
        <v>425</v>
      </c>
      <c r="C76" s="6" t="s">
        <v>412</v>
      </c>
      <c r="D76" s="6" t="s">
        <v>499</v>
      </c>
      <c r="F76">
        <v>8988</v>
      </c>
      <c r="G76">
        <v>10711</v>
      </c>
      <c r="H76">
        <v>7122</v>
      </c>
      <c r="I76" s="157"/>
      <c r="J76" s="157">
        <v>1889.66</v>
      </c>
      <c r="K76" s="157">
        <v>34371.871999999996</v>
      </c>
      <c r="L76">
        <f>H76/365</f>
        <v>19.512328767123286</v>
      </c>
    </row>
    <row r="77" spans="1:12" x14ac:dyDescent="0.35">
      <c r="A77" t="s">
        <v>371</v>
      </c>
      <c r="B77" s="6" t="s">
        <v>426</v>
      </c>
      <c r="C77" s="6" t="s">
        <v>407</v>
      </c>
      <c r="D77" s="6" t="s">
        <v>437</v>
      </c>
      <c r="F77">
        <v>-10230.660000000002</v>
      </c>
      <c r="G77">
        <v>-10892.539999999999</v>
      </c>
      <c r="H77">
        <v>-10766.72</v>
      </c>
      <c r="I77" s="157">
        <v>-9209.3199999999943</v>
      </c>
      <c r="J77" s="157">
        <v>-10177.069999999998</v>
      </c>
      <c r="K77" s="157">
        <v>-10048.699999999995</v>
      </c>
    </row>
    <row r="78" spans="1:12" x14ac:dyDescent="0.35">
      <c r="A78" t="s">
        <v>372</v>
      </c>
      <c r="B78" s="6" t="s">
        <v>426</v>
      </c>
      <c r="C78" s="6" t="s">
        <v>408</v>
      </c>
      <c r="D78" s="6" t="s">
        <v>437</v>
      </c>
      <c r="F78">
        <v>-530.64</v>
      </c>
      <c r="G78">
        <v>-476.03000000000003</v>
      </c>
      <c r="H78">
        <v>-311.44</v>
      </c>
      <c r="I78" s="157">
        <v>-428.44000000000005</v>
      </c>
      <c r="J78" s="157">
        <v>-416.22</v>
      </c>
      <c r="K78" s="157">
        <v>-299.75999999999993</v>
      </c>
    </row>
    <row r="79" spans="1:12" x14ac:dyDescent="0.35">
      <c r="A79" t="s">
        <v>373</v>
      </c>
      <c r="B79" s="6" t="s">
        <v>426</v>
      </c>
      <c r="C79" s="6" t="s">
        <v>410</v>
      </c>
      <c r="D79" s="6" t="s">
        <v>437</v>
      </c>
      <c r="F79">
        <v>-2403.6999999999998</v>
      </c>
      <c r="G79">
        <v>-2323.4299999999998</v>
      </c>
      <c r="H79">
        <v>-1997.8400000000001</v>
      </c>
      <c r="I79" s="157">
        <v>-3527.24</v>
      </c>
      <c r="J79" s="157">
        <v>-3098.71</v>
      </c>
      <c r="K79" s="157">
        <v>-2727.54</v>
      </c>
    </row>
    <row r="80" spans="1:12" x14ac:dyDescent="0.35">
      <c r="A80" t="s">
        <v>374</v>
      </c>
      <c r="B80" s="6" t="s">
        <v>426</v>
      </c>
      <c r="C80" s="6" t="s">
        <v>411</v>
      </c>
      <c r="D80" s="6" t="s">
        <v>437</v>
      </c>
      <c r="F80">
        <v>-235</v>
      </c>
      <c r="G80">
        <v>-362</v>
      </c>
      <c r="H80">
        <v>-566</v>
      </c>
      <c r="I80" s="157">
        <v>-235</v>
      </c>
      <c r="J80" s="157">
        <v>-362</v>
      </c>
      <c r="K80" s="157">
        <v>-566</v>
      </c>
    </row>
    <row r="81" spans="1:11" x14ac:dyDescent="0.35">
      <c r="A81" t="s">
        <v>375</v>
      </c>
      <c r="B81" s="6" t="s">
        <v>426</v>
      </c>
      <c r="C81" s="6" t="s">
        <v>412</v>
      </c>
      <c r="D81" s="6" t="s">
        <v>437</v>
      </c>
      <c r="F81">
        <v>13400</v>
      </c>
      <c r="G81">
        <v>14054</v>
      </c>
      <c r="H81">
        <v>13642</v>
      </c>
      <c r="I81" s="157">
        <v>13400</v>
      </c>
      <c r="J81" s="157">
        <v>14054</v>
      </c>
      <c r="K81" s="157">
        <v>13642</v>
      </c>
    </row>
    <row r="82" spans="1:11" x14ac:dyDescent="0.35">
      <c r="A82" t="s">
        <v>376</v>
      </c>
      <c r="B82" s="6" t="s">
        <v>427</v>
      </c>
      <c r="C82" s="6" t="s">
        <v>407</v>
      </c>
      <c r="D82" s="6" t="s">
        <v>499</v>
      </c>
      <c r="H82">
        <v>0</v>
      </c>
      <c r="I82" s="157"/>
      <c r="J82" s="157">
        <v>-692.00999999999976</v>
      </c>
      <c r="K82" s="157">
        <v>-8744.43</v>
      </c>
    </row>
    <row r="83" spans="1:11" x14ac:dyDescent="0.35">
      <c r="A83" t="s">
        <v>377</v>
      </c>
      <c r="B83" s="6" t="s">
        <v>427</v>
      </c>
      <c r="C83" s="6" t="s">
        <v>408</v>
      </c>
      <c r="D83" s="6" t="s">
        <v>499</v>
      </c>
      <c r="I83" s="157"/>
      <c r="J83" s="157"/>
      <c r="K83" s="157">
        <v>-105.10000000000001</v>
      </c>
    </row>
    <row r="84" spans="1:11" x14ac:dyDescent="0.35">
      <c r="A84" t="s">
        <v>378</v>
      </c>
      <c r="B84" s="6" t="s">
        <v>427</v>
      </c>
      <c r="C84" s="6" t="s">
        <v>410</v>
      </c>
      <c r="D84" s="6" t="s">
        <v>499</v>
      </c>
      <c r="I84" s="157"/>
      <c r="J84" s="157">
        <v>19</v>
      </c>
      <c r="K84" s="157">
        <v>252.98600000000002</v>
      </c>
    </row>
    <row r="85" spans="1:11" x14ac:dyDescent="0.35">
      <c r="A85" t="s">
        <v>379</v>
      </c>
      <c r="B85" s="6" t="s">
        <v>427</v>
      </c>
      <c r="C85" s="6" t="s">
        <v>411</v>
      </c>
      <c r="D85" s="6" t="s">
        <v>499</v>
      </c>
      <c r="I85" s="157"/>
      <c r="J85" s="157"/>
      <c r="K85" s="157"/>
    </row>
    <row r="86" spans="1:11" x14ac:dyDescent="0.35">
      <c r="A86" t="s">
        <v>380</v>
      </c>
      <c r="B86" s="6" t="s">
        <v>427</v>
      </c>
      <c r="C86" s="6" t="s">
        <v>412</v>
      </c>
      <c r="D86" s="6" t="s">
        <v>499</v>
      </c>
      <c r="I86" s="157"/>
      <c r="J86" s="157">
        <v>697.46</v>
      </c>
      <c r="K86" s="157">
        <v>8778.3640000000014</v>
      </c>
    </row>
    <row r="87" spans="1:11" x14ac:dyDescent="0.35">
      <c r="A87" s="158" t="s">
        <v>381</v>
      </c>
      <c r="B87" s="160" t="s">
        <v>428</v>
      </c>
      <c r="C87" s="6" t="s">
        <v>407</v>
      </c>
      <c r="D87" s="6" t="s">
        <v>436</v>
      </c>
      <c r="G87">
        <v>0</v>
      </c>
      <c r="I87" s="157"/>
      <c r="J87" s="157">
        <v>-7278.8900000000067</v>
      </c>
      <c r="K87" s="157">
        <v>-15548.200000000012</v>
      </c>
    </row>
    <row r="88" spans="1:11" x14ac:dyDescent="0.35">
      <c r="A88" s="158" t="s">
        <v>382</v>
      </c>
      <c r="B88" s="160" t="s">
        <v>428</v>
      </c>
      <c r="C88" s="6" t="s">
        <v>408</v>
      </c>
      <c r="D88" s="6" t="s">
        <v>436</v>
      </c>
      <c r="I88" s="157"/>
      <c r="J88" s="157"/>
      <c r="K88" s="157"/>
    </row>
    <row r="89" spans="1:11" x14ac:dyDescent="0.35">
      <c r="A89" s="158" t="s">
        <v>383</v>
      </c>
      <c r="B89" s="160" t="s">
        <v>428</v>
      </c>
      <c r="C89" s="6" t="s">
        <v>410</v>
      </c>
      <c r="D89" s="6" t="s">
        <v>436</v>
      </c>
      <c r="I89" s="157"/>
      <c r="J89" s="157">
        <v>199.9</v>
      </c>
      <c r="K89" s="157">
        <v>385.44999999999993</v>
      </c>
    </row>
    <row r="90" spans="1:11" x14ac:dyDescent="0.35">
      <c r="A90" s="158" t="s">
        <v>384</v>
      </c>
      <c r="B90" s="160" t="s">
        <v>428</v>
      </c>
      <c r="C90" s="6" t="s">
        <v>411</v>
      </c>
      <c r="D90" s="6" t="s">
        <v>436</v>
      </c>
      <c r="I90" s="157"/>
      <c r="J90" s="157"/>
      <c r="K90" s="157"/>
    </row>
    <row r="91" spans="1:11" x14ac:dyDescent="0.35">
      <c r="A91" s="158" t="s">
        <v>385</v>
      </c>
      <c r="B91" s="160" t="s">
        <v>428</v>
      </c>
      <c r="C91" s="6" t="s">
        <v>412</v>
      </c>
      <c r="D91" s="6" t="s">
        <v>436</v>
      </c>
      <c r="I91" s="157"/>
      <c r="J91" s="157">
        <v>7015.5700000000006</v>
      </c>
      <c r="K91" s="157">
        <v>15007.62</v>
      </c>
    </row>
    <row r="92" spans="1:11" x14ac:dyDescent="0.35">
      <c r="A92" t="s">
        <v>386</v>
      </c>
      <c r="B92" s="6" t="s">
        <v>429</v>
      </c>
      <c r="C92" s="6" t="s">
        <v>407</v>
      </c>
      <c r="D92" s="6" t="s">
        <v>268</v>
      </c>
      <c r="F92">
        <v>-77533.048909999939</v>
      </c>
      <c r="G92">
        <v>-80730.730010000116</v>
      </c>
      <c r="H92">
        <v>-81620.740010000154</v>
      </c>
      <c r="I92" s="157">
        <v>-75706.158909999896</v>
      </c>
      <c r="J92" s="157">
        <v>-78324.650009999954</v>
      </c>
      <c r="K92" s="157">
        <v>-78562.46001000001</v>
      </c>
    </row>
    <row r="93" spans="1:11" x14ac:dyDescent="0.35">
      <c r="A93" t="s">
        <v>387</v>
      </c>
      <c r="B93" s="6" t="s">
        <v>429</v>
      </c>
      <c r="C93" s="6" t="s">
        <v>408</v>
      </c>
      <c r="D93" s="6" t="s">
        <v>268</v>
      </c>
      <c r="F93">
        <v>-17480.629970000009</v>
      </c>
      <c r="G93">
        <v>-15036.180040000001</v>
      </c>
      <c r="H93">
        <v>-14871.400000000011</v>
      </c>
      <c r="I93" s="157">
        <v>-24322.769969999987</v>
      </c>
      <c r="J93" s="157">
        <v>-21586.360039999985</v>
      </c>
      <c r="K93" s="157">
        <v>-19816.069999999989</v>
      </c>
    </row>
    <row r="94" spans="1:11" x14ac:dyDescent="0.35">
      <c r="A94" t="s">
        <v>388</v>
      </c>
      <c r="B94" s="6" t="s">
        <v>429</v>
      </c>
      <c r="C94" s="6" t="s">
        <v>410</v>
      </c>
      <c r="D94" s="6" t="s">
        <v>268</v>
      </c>
      <c r="F94">
        <v>-11072.601119999998</v>
      </c>
      <c r="G94">
        <v>30366.520050000003</v>
      </c>
      <c r="H94">
        <v>55610.650009999998</v>
      </c>
      <c r="I94" s="157">
        <v>3992.7588799999999</v>
      </c>
      <c r="J94" s="157">
        <v>3939.4659899999992</v>
      </c>
      <c r="K94" s="157">
        <v>3162.5493900000001</v>
      </c>
    </row>
    <row r="95" spans="1:11" x14ac:dyDescent="0.35">
      <c r="A95" t="s">
        <v>389</v>
      </c>
      <c r="B95" s="6" t="s">
        <v>429</v>
      </c>
      <c r="C95" s="6" t="s">
        <v>411</v>
      </c>
      <c r="D95" s="6" t="s">
        <v>268</v>
      </c>
      <c r="F95">
        <v>-7546.7199999999984</v>
      </c>
      <c r="G95">
        <v>-5990.6100000000015</v>
      </c>
      <c r="H95">
        <v>-3754.5099999999998</v>
      </c>
      <c r="I95" s="157">
        <v>-6958.42</v>
      </c>
      <c r="J95" s="157">
        <v>-5070.8900000000012</v>
      </c>
      <c r="K95" s="157">
        <v>-3530.0899999999992</v>
      </c>
    </row>
    <row r="96" spans="1:11" x14ac:dyDescent="0.35">
      <c r="A96" t="s">
        <v>390</v>
      </c>
      <c r="B96" s="6" t="s">
        <v>429</v>
      </c>
      <c r="C96" s="6" t="s">
        <v>412</v>
      </c>
      <c r="D96" s="6" t="s">
        <v>268</v>
      </c>
      <c r="F96">
        <v>113633</v>
      </c>
      <c r="G96">
        <v>71391</v>
      </c>
      <c r="H96">
        <v>44636</v>
      </c>
      <c r="I96" s="157">
        <v>102994.59</v>
      </c>
      <c r="J96" s="157">
        <v>101042.43406</v>
      </c>
      <c r="K96" s="157">
        <v>98746.070619999984</v>
      </c>
    </row>
    <row r="97" spans="1:11" x14ac:dyDescent="0.35">
      <c r="A97" t="s">
        <v>391</v>
      </c>
      <c r="B97" s="6" t="s">
        <v>391</v>
      </c>
      <c r="C97" s="6" t="s">
        <v>407</v>
      </c>
      <c r="D97" s="6" t="s">
        <v>438</v>
      </c>
      <c r="F97">
        <v>-1915.7900000000004</v>
      </c>
      <c r="G97">
        <v>-1753.7599599999985</v>
      </c>
      <c r="H97">
        <v>-1711.5299999999997</v>
      </c>
      <c r="I97" s="157"/>
      <c r="J97" s="157"/>
      <c r="K97" s="157"/>
    </row>
    <row r="98" spans="1:11" x14ac:dyDescent="0.35">
      <c r="A98" t="s">
        <v>392</v>
      </c>
      <c r="B98" s="6" t="s">
        <v>392</v>
      </c>
      <c r="C98" s="6" t="s">
        <v>408</v>
      </c>
      <c r="D98" s="6" t="s">
        <v>438</v>
      </c>
      <c r="F98">
        <v>-745.87</v>
      </c>
      <c r="G98">
        <v>-796.3900000000001</v>
      </c>
      <c r="H98">
        <v>-1332.1200000000001</v>
      </c>
      <c r="I98" s="157"/>
      <c r="J98" s="157"/>
      <c r="K98" s="157"/>
    </row>
    <row r="99" spans="1:11" x14ac:dyDescent="0.35">
      <c r="A99" t="s">
        <v>393</v>
      </c>
      <c r="B99" s="6" t="s">
        <v>393</v>
      </c>
      <c r="C99" s="6" t="s">
        <v>410</v>
      </c>
      <c r="D99" s="6" t="s">
        <v>438</v>
      </c>
      <c r="F99">
        <v>-93.339999999999989</v>
      </c>
      <c r="G99">
        <v>-12.85004</v>
      </c>
      <c r="H99">
        <v>122.65000000000002</v>
      </c>
      <c r="I99" s="157"/>
      <c r="J99" s="157"/>
      <c r="K99" s="157"/>
    </row>
    <row r="100" spans="1:11" x14ac:dyDescent="0.35">
      <c r="A100" t="s">
        <v>394</v>
      </c>
      <c r="B100" s="6" t="s">
        <v>394</v>
      </c>
      <c r="C100" s="6" t="s">
        <v>411</v>
      </c>
      <c r="D100" s="6" t="s">
        <v>438</v>
      </c>
      <c r="F100">
        <v>-84</v>
      </c>
      <c r="G100">
        <v>-31</v>
      </c>
      <c r="H100">
        <v>-39</v>
      </c>
      <c r="I100" s="157"/>
      <c r="J100" s="157"/>
      <c r="K100" s="157"/>
    </row>
    <row r="101" spans="1:11" x14ac:dyDescent="0.35">
      <c r="A101" t="s">
        <v>395</v>
      </c>
      <c r="B101" s="6" t="s">
        <v>395</v>
      </c>
      <c r="C101" s="6" t="s">
        <v>412</v>
      </c>
      <c r="D101" s="6" t="s">
        <v>438</v>
      </c>
      <c r="F101">
        <v>2839</v>
      </c>
      <c r="G101">
        <v>2594</v>
      </c>
      <c r="H101">
        <v>2960</v>
      </c>
      <c r="I101" s="157"/>
      <c r="J101" s="157"/>
      <c r="K101" s="157"/>
    </row>
    <row r="102" spans="1:11" x14ac:dyDescent="0.35">
      <c r="A102" t="s">
        <v>396</v>
      </c>
      <c r="B102" s="6" t="s">
        <v>430</v>
      </c>
      <c r="C102" s="6" t="s">
        <v>407</v>
      </c>
      <c r="D102" s="6" t="s">
        <v>434</v>
      </c>
      <c r="F102">
        <v>-6145.62</v>
      </c>
      <c r="G102">
        <v>-6856.6200000000008</v>
      </c>
      <c r="H102">
        <v>-6173.1799999999939</v>
      </c>
      <c r="I102" s="157">
        <v>-5073.2499999999945</v>
      </c>
      <c r="J102" s="157">
        <v>-5560.1900000000005</v>
      </c>
      <c r="K102" s="157">
        <v>-5277.479999999995</v>
      </c>
    </row>
    <row r="103" spans="1:11" x14ac:dyDescent="0.35">
      <c r="A103" t="s">
        <v>397</v>
      </c>
      <c r="B103" s="6" t="s">
        <v>430</v>
      </c>
      <c r="C103" s="6" t="s">
        <v>408</v>
      </c>
      <c r="D103" s="6" t="s">
        <v>434</v>
      </c>
      <c r="F103">
        <v>-697.48999999999978</v>
      </c>
      <c r="G103">
        <v>-1039.8999999999999</v>
      </c>
      <c r="H103">
        <v>-977.54000000000019</v>
      </c>
      <c r="I103" s="157">
        <v>-388.37</v>
      </c>
      <c r="J103" s="157">
        <v>-531.37</v>
      </c>
      <c r="K103" s="157">
        <v>-583.0300000000002</v>
      </c>
    </row>
    <row r="104" spans="1:11" x14ac:dyDescent="0.35">
      <c r="A104" t="s">
        <v>398</v>
      </c>
      <c r="B104" s="6" t="s">
        <v>430</v>
      </c>
      <c r="C104" s="6" t="s">
        <v>410</v>
      </c>
      <c r="D104" s="6" t="s">
        <v>434</v>
      </c>
      <c r="F104">
        <v>-1072.8899999999999</v>
      </c>
      <c r="G104">
        <v>3551.5199999999995</v>
      </c>
      <c r="H104">
        <v>5030.9299999999994</v>
      </c>
      <c r="I104" s="157">
        <v>186.17000000000002</v>
      </c>
      <c r="J104" s="157">
        <v>266.89821999999998</v>
      </c>
      <c r="K104" s="157">
        <v>165.78</v>
      </c>
    </row>
    <row r="105" spans="1:11" x14ac:dyDescent="0.35">
      <c r="A105" t="s">
        <v>399</v>
      </c>
      <c r="B105" s="6" t="s">
        <v>430</v>
      </c>
      <c r="C105" s="6" t="s">
        <v>411</v>
      </c>
      <c r="D105" s="6" t="s">
        <v>434</v>
      </c>
      <c r="F105">
        <v>-201</v>
      </c>
      <c r="G105">
        <v>-335</v>
      </c>
      <c r="H105">
        <v>-193</v>
      </c>
      <c r="I105" s="157">
        <v>0</v>
      </c>
      <c r="J105" s="157"/>
      <c r="K105" s="157"/>
    </row>
    <row r="106" spans="1:11" x14ac:dyDescent="0.35">
      <c r="A106" t="s">
        <v>400</v>
      </c>
      <c r="B106" s="6" t="s">
        <v>430</v>
      </c>
      <c r="C106" s="6" t="s">
        <v>412</v>
      </c>
      <c r="D106" s="6" t="s">
        <v>434</v>
      </c>
      <c r="F106">
        <v>8117</v>
      </c>
      <c r="G106">
        <v>4680</v>
      </c>
      <c r="H106">
        <v>2287</v>
      </c>
      <c r="I106" s="157">
        <v>7506.4499999999989</v>
      </c>
      <c r="J106" s="157">
        <v>11642.661780000002</v>
      </c>
      <c r="K106" s="157">
        <v>5668.9400000000005</v>
      </c>
    </row>
    <row r="107" spans="1:11" x14ac:dyDescent="0.35">
      <c r="A107" s="449" t="s">
        <v>401</v>
      </c>
      <c r="B107" s="6" t="s">
        <v>431</v>
      </c>
      <c r="C107" s="6" t="s">
        <v>407</v>
      </c>
      <c r="D107" s="6" t="s">
        <v>434</v>
      </c>
      <c r="I107" s="157"/>
      <c r="J107" s="157"/>
      <c r="K107" s="157"/>
    </row>
    <row r="108" spans="1:11" x14ac:dyDescent="0.35">
      <c r="A108" s="449" t="s">
        <v>402</v>
      </c>
      <c r="B108" s="6" t="s">
        <v>431</v>
      </c>
      <c r="C108" s="6" t="s">
        <v>408</v>
      </c>
      <c r="D108" s="6" t="s">
        <v>434</v>
      </c>
      <c r="F108">
        <v>-36510.430000000008</v>
      </c>
      <c r="G108">
        <v>-36070.240000000034</v>
      </c>
      <c r="H108">
        <v>-39072.249999999993</v>
      </c>
      <c r="I108" s="157">
        <v>-35275.289999999986</v>
      </c>
      <c r="J108" s="157">
        <v>-35335.649999999994</v>
      </c>
      <c r="K108" s="157">
        <v>-38191.439999999966</v>
      </c>
    </row>
    <row r="109" spans="1:11" x14ac:dyDescent="0.35">
      <c r="A109" s="449" t="s">
        <v>403</v>
      </c>
      <c r="B109" s="6" t="s">
        <v>431</v>
      </c>
      <c r="C109" s="6" t="s">
        <v>410</v>
      </c>
      <c r="D109" s="6" t="s">
        <v>434</v>
      </c>
      <c r="F109">
        <v>-9061.5699999999979</v>
      </c>
      <c r="G109">
        <v>-6951.26</v>
      </c>
      <c r="H109">
        <v>-7817.5499999999993</v>
      </c>
      <c r="I109" s="157">
        <v>-2178.7099999999996</v>
      </c>
      <c r="J109" s="157">
        <v>-4395.3500000000004</v>
      </c>
      <c r="K109" s="157">
        <v>-3334.77</v>
      </c>
    </row>
    <row r="110" spans="1:11" x14ac:dyDescent="0.35">
      <c r="A110" s="449" t="s">
        <v>404</v>
      </c>
      <c r="B110" s="6" t="s">
        <v>431</v>
      </c>
      <c r="C110" s="6" t="s">
        <v>411</v>
      </c>
      <c r="D110" s="6" t="s">
        <v>434</v>
      </c>
      <c r="F110">
        <v>-6129</v>
      </c>
      <c r="G110">
        <v>5915.5</v>
      </c>
      <c r="H110">
        <v>2079.59</v>
      </c>
      <c r="I110" s="157">
        <v>0</v>
      </c>
      <c r="J110" s="157"/>
      <c r="K110" s="157"/>
    </row>
    <row r="111" spans="1:11" x14ac:dyDescent="0.35">
      <c r="A111" s="449" t="s">
        <v>405</v>
      </c>
      <c r="B111" s="6" t="s">
        <v>431</v>
      </c>
      <c r="C111" s="6" t="s">
        <v>412</v>
      </c>
      <c r="D111" s="6" t="s">
        <v>434</v>
      </c>
      <c r="F111">
        <v>51701</v>
      </c>
      <c r="G111">
        <v>37106</v>
      </c>
      <c r="H111">
        <v>44836</v>
      </c>
      <c r="I111" s="157">
        <v>35223</v>
      </c>
      <c r="J111" s="157">
        <v>33913</v>
      </c>
      <c r="K111" s="157">
        <v>41552</v>
      </c>
    </row>
    <row r="112" spans="1:11" x14ac:dyDescent="0.35">
      <c r="A112" t="s">
        <v>299</v>
      </c>
      <c r="B112" s="6" t="s">
        <v>299</v>
      </c>
      <c r="I112" s="157"/>
      <c r="J112" s="157"/>
      <c r="K112" s="157"/>
    </row>
    <row r="113" spans="1:11" x14ac:dyDescent="0.35">
      <c r="A113" t="s">
        <v>300</v>
      </c>
      <c r="B113" s="6" t="s">
        <v>300</v>
      </c>
      <c r="F113" s="159"/>
      <c r="G113" s="159"/>
      <c r="H113" s="159"/>
      <c r="I113" s="159"/>
      <c r="J113" s="159"/>
      <c r="K113" s="159"/>
    </row>
    <row r="114" spans="1:11" x14ac:dyDescent="0.35">
      <c r="H114" t="s">
        <v>38</v>
      </c>
      <c r="K114" t="s">
        <v>39</v>
      </c>
    </row>
    <row r="115" spans="1:11" x14ac:dyDescent="0.35">
      <c r="F115" t="s">
        <v>656</v>
      </c>
      <c r="G115" t="s">
        <v>655</v>
      </c>
      <c r="H115" s="450">
        <f>ABS(AVERAGE(F111:H111))/365</f>
        <v>122.04840182648401</v>
      </c>
      <c r="J115" t="s">
        <v>655</v>
      </c>
      <c r="K115" s="450">
        <f>ABS(AVERAGE(I111:K111))/365</f>
        <v>101.08493150684932</v>
      </c>
    </row>
    <row r="116" spans="1:11" x14ac:dyDescent="0.35">
      <c r="F116" t="s">
        <v>656</v>
      </c>
      <c r="G116" t="s">
        <v>657</v>
      </c>
      <c r="H116" s="450">
        <f>ABS(AVERAGE(F108:H108))/365</f>
        <v>101.96613698630141</v>
      </c>
      <c r="J116" t="s">
        <v>657</v>
      </c>
      <c r="K116" s="450">
        <f>ABS(AVERAGE(I108:K108))/365</f>
        <v>99.362904109588996</v>
      </c>
    </row>
    <row r="119" spans="1:11" x14ac:dyDescent="0.35">
      <c r="A119" s="96"/>
    </row>
  </sheetData>
  <autoFilter ref="A1:K113" xr:uid="{D78D6827-4989-4321-BC9C-50A67452436B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A843-223D-4A41-91EC-036077E3E09E}">
  <dimension ref="A1:U51"/>
  <sheetViews>
    <sheetView workbookViewId="0">
      <selection activeCell="E9" sqref="E9"/>
    </sheetView>
  </sheetViews>
  <sheetFormatPr defaultRowHeight="14.5" x14ac:dyDescent="0.35"/>
  <cols>
    <col min="2" max="2" width="68.90625" bestFit="1" customWidth="1"/>
    <col min="3" max="3" width="9.453125" customWidth="1"/>
    <col min="4" max="5" width="9.90625" bestFit="1" customWidth="1"/>
    <col min="6" max="6" width="13.1796875" style="6" bestFit="1" customWidth="1"/>
    <col min="7" max="7" width="9.90625" customWidth="1"/>
    <col min="8" max="8" width="12.453125" customWidth="1"/>
    <col min="9" max="18" width="9.81640625" customWidth="1"/>
  </cols>
  <sheetData>
    <row r="1" spans="1:17" ht="43.5" x14ac:dyDescent="0.35">
      <c r="C1">
        <v>2020</v>
      </c>
      <c r="D1" s="133">
        <v>2021</v>
      </c>
      <c r="E1" s="133">
        <v>2022</v>
      </c>
      <c r="F1" s="558" t="s">
        <v>862</v>
      </c>
      <c r="K1" s="564" t="s">
        <v>887</v>
      </c>
      <c r="L1" s="564" t="s">
        <v>881</v>
      </c>
      <c r="M1" s="564" t="s">
        <v>884</v>
      </c>
      <c r="N1" s="564" t="s">
        <v>882</v>
      </c>
      <c r="O1" s="564" t="s">
        <v>880</v>
      </c>
      <c r="P1" s="564" t="s">
        <v>879</v>
      </c>
    </row>
    <row r="2" spans="1:17" x14ac:dyDescent="0.35">
      <c r="B2" s="582" t="s">
        <v>920</v>
      </c>
      <c r="D2" s="583">
        <v>3820822</v>
      </c>
      <c r="E2" s="583">
        <v>4778859</v>
      </c>
      <c r="H2" s="553" t="s">
        <v>867</v>
      </c>
      <c r="I2" s="554"/>
      <c r="K2" s="4" t="s">
        <v>876</v>
      </c>
      <c r="L2" s="4">
        <v>400000</v>
      </c>
      <c r="M2" s="4">
        <f>L2</f>
        <v>400000</v>
      </c>
      <c r="N2" s="4">
        <v>300000</v>
      </c>
      <c r="O2" s="4">
        <v>100000</v>
      </c>
      <c r="P2" s="4">
        <f>L2-N2-O2</f>
        <v>0</v>
      </c>
    </row>
    <row r="3" spans="1:17" x14ac:dyDescent="0.35">
      <c r="A3" s="133" t="s">
        <v>92</v>
      </c>
      <c r="B3" s="133" t="s">
        <v>861</v>
      </c>
      <c r="C3" s="133"/>
      <c r="D3" s="194">
        <f>D4+D5+D6+D7</f>
        <v>1668835</v>
      </c>
      <c r="E3" s="194">
        <f>E4+E5+E6+E7</f>
        <v>1793953</v>
      </c>
      <c r="F3" s="560">
        <f>F4+F5+F6+F7</f>
        <v>1988780.3721378185</v>
      </c>
      <c r="G3" s="3"/>
      <c r="H3" s="4" t="s">
        <v>865</v>
      </c>
      <c r="I3" s="561">
        <f>Q!I3/Q!G3</f>
        <v>1.0671517258537124</v>
      </c>
      <c r="K3" s="4" t="s">
        <v>877</v>
      </c>
      <c r="L3" s="4">
        <v>120000</v>
      </c>
      <c r="M3" s="4">
        <f>L3</f>
        <v>120000</v>
      </c>
      <c r="N3" s="4">
        <v>120000</v>
      </c>
      <c r="O3" s="4"/>
      <c r="P3" s="4">
        <f>L3-N3-O3</f>
        <v>0</v>
      </c>
    </row>
    <row r="4" spans="1:17" x14ac:dyDescent="0.35">
      <c r="A4" t="s">
        <v>860</v>
      </c>
      <c r="B4" t="s">
        <v>859</v>
      </c>
      <c r="D4" s="3">
        <v>458370</v>
      </c>
      <c r="E4" s="3">
        <v>522071</v>
      </c>
      <c r="F4" s="559">
        <f>E4*$I$3</f>
        <v>557128.96866817353</v>
      </c>
      <c r="G4" s="3"/>
      <c r="H4" s="4" t="s">
        <v>866</v>
      </c>
      <c r="I4" s="561">
        <f>Q!I9/Q!G9</f>
        <v>1.1676537494589034</v>
      </c>
      <c r="K4" s="565" t="s">
        <v>875</v>
      </c>
      <c r="L4" s="565">
        <v>120000</v>
      </c>
      <c r="M4" s="565">
        <v>120000</v>
      </c>
      <c r="N4" s="565">
        <v>120000</v>
      </c>
      <c r="O4" s="565"/>
      <c r="P4" s="4">
        <f>L4-N4-O4</f>
        <v>0</v>
      </c>
      <c r="Q4" s="566" t="s">
        <v>949</v>
      </c>
    </row>
    <row r="5" spans="1:17" x14ac:dyDescent="0.35">
      <c r="A5" t="s">
        <v>858</v>
      </c>
      <c r="B5" t="s">
        <v>857</v>
      </c>
      <c r="D5" s="3">
        <v>971683</v>
      </c>
      <c r="E5" s="3">
        <v>1045324</v>
      </c>
      <c r="F5" s="559">
        <f>E5*$I$4</f>
        <v>1220576.4879993787</v>
      </c>
      <c r="G5" s="3"/>
      <c r="H5" s="553" t="s">
        <v>868</v>
      </c>
      <c r="I5" s="554"/>
      <c r="K5" s="565" t="s">
        <v>878</v>
      </c>
      <c r="L5" s="565">
        <v>374000</v>
      </c>
      <c r="M5" s="565">
        <f>N5+O5</f>
        <v>94000</v>
      </c>
      <c r="N5" s="565">
        <v>64000</v>
      </c>
      <c r="O5" s="565">
        <v>30000</v>
      </c>
      <c r="P5" s="565">
        <f>L5-N5-O5</f>
        <v>280000</v>
      </c>
      <c r="Q5" s="566" t="s">
        <v>949</v>
      </c>
    </row>
    <row r="6" spans="1:17" x14ac:dyDescent="0.35">
      <c r="A6" t="s">
        <v>856</v>
      </c>
      <c r="B6" t="s">
        <v>855</v>
      </c>
      <c r="D6" s="3">
        <v>125707</v>
      </c>
      <c r="E6" s="3">
        <v>106860</v>
      </c>
      <c r="F6" s="559">
        <f>E6*Q!$I$13/Q!$G$13</f>
        <v>94688.415470266162</v>
      </c>
      <c r="G6" s="538"/>
      <c r="H6" s="4" t="s">
        <v>865</v>
      </c>
      <c r="I6" s="562">
        <f>F4/($F$4+$F$5)</f>
        <v>0.31339779409382884</v>
      </c>
      <c r="K6" s="133" t="s">
        <v>12</v>
      </c>
      <c r="L6" s="194">
        <f>L2+L3</f>
        <v>520000</v>
      </c>
      <c r="M6" s="194">
        <f>M2+M3</f>
        <v>520000</v>
      </c>
      <c r="N6" s="194">
        <f t="shared" ref="N6:P6" si="0">N2+N3</f>
        <v>420000</v>
      </c>
      <c r="O6" s="194">
        <f t="shared" si="0"/>
        <v>100000</v>
      </c>
      <c r="P6" s="194">
        <f t="shared" si="0"/>
        <v>0</v>
      </c>
    </row>
    <row r="7" spans="1:17" x14ac:dyDescent="0.35">
      <c r="A7" t="s">
        <v>854</v>
      </c>
      <c r="B7" t="s">
        <v>93</v>
      </c>
      <c r="D7" s="3">
        <v>113075</v>
      </c>
      <c r="E7" s="3">
        <v>119698</v>
      </c>
      <c r="F7" s="559">
        <f>AVERAGE(D7:E7)</f>
        <v>116386.5</v>
      </c>
      <c r="G7" s="3"/>
      <c r="H7" s="4" t="s">
        <v>866</v>
      </c>
      <c r="I7" s="562">
        <f>F5/($F$4+$F$5)</f>
        <v>0.68660220590617116</v>
      </c>
      <c r="K7" t="s">
        <v>883</v>
      </c>
      <c r="L7">
        <v>25</v>
      </c>
    </row>
    <row r="8" spans="1:17" x14ac:dyDescent="0.35">
      <c r="A8" s="133" t="s">
        <v>94</v>
      </c>
      <c r="B8" s="133" t="s">
        <v>853</v>
      </c>
      <c r="C8" s="133"/>
      <c r="D8" s="194">
        <f>D9+D20</f>
        <v>1326843</v>
      </c>
      <c r="E8" s="194">
        <f>E9+E20</f>
        <v>1853151.9</v>
      </c>
      <c r="F8" s="560">
        <f>F9+F20</f>
        <v>1486211.1583357267</v>
      </c>
      <c r="G8" s="3"/>
      <c r="H8" s="553" t="s">
        <v>869</v>
      </c>
      <c r="I8" s="554"/>
      <c r="K8" s="6" t="s">
        <v>885</v>
      </c>
      <c r="L8" s="568">
        <f>(L2+$I$9*L3)/$L$7</f>
        <v>17610.679379081099</v>
      </c>
      <c r="M8" s="568">
        <f t="shared" ref="M8:O8" si="1">(M2+$I$9*M3)/$L$7</f>
        <v>17610.679379081099</v>
      </c>
      <c r="N8" s="570">
        <f t="shared" si="1"/>
        <v>13610.679379081097</v>
      </c>
      <c r="O8" s="568">
        <f t="shared" si="1"/>
        <v>4000</v>
      </c>
    </row>
    <row r="9" spans="1:17" x14ac:dyDescent="0.35">
      <c r="A9" s="133" t="s">
        <v>95</v>
      </c>
      <c r="B9" s="133" t="s">
        <v>852</v>
      </c>
      <c r="C9" s="133"/>
      <c r="D9" s="194">
        <f>D10+D11+D12+D13+D14+D16+D17+D18+D19</f>
        <v>813204</v>
      </c>
      <c r="E9" s="194">
        <f>E10+E11+E12+E13+E14+E16+E17+E18+E19</f>
        <v>1316633.8999999999</v>
      </c>
      <c r="F9" s="560">
        <f>F10+F11+F12+F13+F14+F16+F17+F18+F19</f>
        <v>1486211.1583357267</v>
      </c>
      <c r="G9" s="3"/>
      <c r="H9" s="4" t="s">
        <v>865</v>
      </c>
      <c r="I9" s="562">
        <f>Q!I3/(Q!$I$3+Q!$I$9)</f>
        <v>0.3355582039752284</v>
      </c>
      <c r="K9" s="567" t="s">
        <v>886</v>
      </c>
      <c r="L9" s="569">
        <f>L6/$L$7-L8</f>
        <v>3189.3206209189011</v>
      </c>
      <c r="M9" s="569">
        <f t="shared" ref="M9:O9" si="2">M6/$L$7-M8</f>
        <v>3189.3206209189011</v>
      </c>
      <c r="N9" s="571">
        <f t="shared" si="2"/>
        <v>3189.3206209189029</v>
      </c>
      <c r="O9" s="569">
        <f t="shared" si="2"/>
        <v>0</v>
      </c>
    </row>
    <row r="10" spans="1:17" x14ac:dyDescent="0.35">
      <c r="A10" t="s">
        <v>96</v>
      </c>
      <c r="B10" t="s">
        <v>851</v>
      </c>
      <c r="D10" s="3">
        <v>190857</v>
      </c>
      <c r="E10" s="3">
        <v>294541</v>
      </c>
      <c r="F10" s="559">
        <v>322000</v>
      </c>
      <c r="G10" s="574" t="s">
        <v>1059</v>
      </c>
      <c r="H10" s="4" t="s">
        <v>866</v>
      </c>
      <c r="I10" s="562">
        <f>100%-I9</f>
        <v>0.6644417960247716</v>
      </c>
    </row>
    <row r="11" spans="1:17" x14ac:dyDescent="0.35">
      <c r="A11" t="s">
        <v>97</v>
      </c>
      <c r="B11" t="s">
        <v>850</v>
      </c>
      <c r="D11" s="3">
        <v>41850</v>
      </c>
      <c r="E11" s="3">
        <v>125825</v>
      </c>
      <c r="F11" s="559">
        <v>89268.355139199994</v>
      </c>
      <c r="G11" s="574" t="s">
        <v>1059</v>
      </c>
      <c r="H11" s="553" t="s">
        <v>38</v>
      </c>
      <c r="I11" s="554"/>
    </row>
    <row r="12" spans="1:17" x14ac:dyDescent="0.35">
      <c r="A12" t="s">
        <v>98</v>
      </c>
      <c r="B12" t="s">
        <v>849</v>
      </c>
      <c r="D12" s="3">
        <v>44078</v>
      </c>
      <c r="E12" s="3">
        <v>91655</v>
      </c>
      <c r="F12" s="559">
        <v>75237.624520704994</v>
      </c>
      <c r="G12" s="574" t="s">
        <v>1059</v>
      </c>
      <c r="H12" s="4" t="s">
        <v>185</v>
      </c>
      <c r="I12" s="563">
        <f>$F$10*$I$9</f>
        <v>108049.74168002354</v>
      </c>
    </row>
    <row r="13" spans="1:17" x14ac:dyDescent="0.35">
      <c r="A13" t="s">
        <v>99</v>
      </c>
      <c r="B13" t="s">
        <v>848</v>
      </c>
      <c r="D13" s="3">
        <v>20027</v>
      </c>
      <c r="E13" s="3">
        <v>27725</v>
      </c>
      <c r="F13" s="559">
        <f>E13*SM!$R$21</f>
        <v>30274.291874997027</v>
      </c>
      <c r="G13" s="3"/>
      <c r="H13" s="4" t="s">
        <v>863</v>
      </c>
      <c r="I13" s="563">
        <f>F11+F13+F16+I9*G19*F19</f>
        <v>230055.51479608938</v>
      </c>
    </row>
    <row r="14" spans="1:17" x14ac:dyDescent="0.35">
      <c r="A14" t="s">
        <v>100</v>
      </c>
      <c r="B14" t="s">
        <v>847</v>
      </c>
      <c r="D14" s="648">
        <v>314917</v>
      </c>
      <c r="E14" s="648">
        <v>347288</v>
      </c>
      <c r="F14" s="650">
        <f>F15</f>
        <v>469431.00680082489</v>
      </c>
      <c r="G14" s="3"/>
      <c r="H14" s="4" t="s">
        <v>864</v>
      </c>
      <c r="I14" s="563">
        <f>($F$18+G19*$F$19)*$I$9</f>
        <v>85471.687792058059</v>
      </c>
    </row>
    <row r="15" spans="1:17" x14ac:dyDescent="0.35">
      <c r="B15" s="646" t="s">
        <v>1000</v>
      </c>
      <c r="C15" s="647">
        <f>270256.24+21287.64</f>
        <v>291543.88</v>
      </c>
      <c r="D15" s="647">
        <f>293163.36+18247.92</f>
        <v>311411.27999999997</v>
      </c>
      <c r="E15" s="647">
        <f>331415.33+15707.58</f>
        <v>347122.91000000003</v>
      </c>
      <c r="F15" s="559">
        <f>(Q!I10-Q!I261-Q!I282)*0.72+(Q!I15-Q!I244-Q!I265)*0.14</f>
        <v>469431.00680082489</v>
      </c>
      <c r="G15" s="3"/>
      <c r="H15" s="553" t="s">
        <v>39</v>
      </c>
      <c r="I15" s="554"/>
    </row>
    <row r="16" spans="1:17" x14ac:dyDescent="0.35">
      <c r="A16" t="s">
        <v>102</v>
      </c>
      <c r="B16" t="s">
        <v>846</v>
      </c>
      <c r="D16" s="557">
        <v>37173</v>
      </c>
      <c r="E16" s="557">
        <v>40086</v>
      </c>
      <c r="F16" s="559">
        <v>44470</v>
      </c>
      <c r="G16" s="574" t="s">
        <v>1059</v>
      </c>
      <c r="H16" s="4" t="s">
        <v>185</v>
      </c>
      <c r="I16" s="563">
        <f>$F$10*$I$10</f>
        <v>213950.25831997645</v>
      </c>
    </row>
    <row r="17" spans="1:21" x14ac:dyDescent="0.35">
      <c r="A17" t="s">
        <v>845</v>
      </c>
      <c r="B17" t="s">
        <v>844</v>
      </c>
      <c r="D17" s="557">
        <v>2450</v>
      </c>
      <c r="E17" s="557">
        <v>3589</v>
      </c>
      <c r="F17" s="559">
        <v>4000</v>
      </c>
      <c r="G17" s="574" t="s">
        <v>1059</v>
      </c>
      <c r="H17" s="649" t="s">
        <v>1001</v>
      </c>
      <c r="I17" s="651">
        <f>F14</f>
        <v>469431.00680082489</v>
      </c>
    </row>
    <row r="18" spans="1:21" x14ac:dyDescent="0.35">
      <c r="A18" t="s">
        <v>843</v>
      </c>
      <c r="B18" t="s">
        <v>101</v>
      </c>
      <c r="D18" s="557">
        <v>44300</v>
      </c>
      <c r="E18" s="557">
        <v>57900</v>
      </c>
      <c r="F18" s="559">
        <f>E18</f>
        <v>57900</v>
      </c>
      <c r="G18" s="3"/>
      <c r="H18" s="649" t="s">
        <v>1002</v>
      </c>
      <c r="I18" s="563">
        <f>F12+F17+I10*G19*F19</f>
        <v>210009.69673881266</v>
      </c>
    </row>
    <row r="19" spans="1:21" x14ac:dyDescent="0.35">
      <c r="A19" t="s">
        <v>842</v>
      </c>
      <c r="B19" t="s">
        <v>103</v>
      </c>
      <c r="D19" s="3">
        <v>117552</v>
      </c>
      <c r="E19" s="3">
        <v>328024.90000000002</v>
      </c>
      <c r="F19" s="559">
        <f>E19*1.2</f>
        <v>393629.88</v>
      </c>
      <c r="G19" s="652">
        <v>0.5</v>
      </c>
      <c r="H19" s="4" t="s">
        <v>864</v>
      </c>
      <c r="I19" s="563">
        <f>($F$18+G19*$F$19)*$I$10</f>
        <v>169243.25220794193</v>
      </c>
    </row>
    <row r="20" spans="1:21" x14ac:dyDescent="0.35">
      <c r="A20" s="133" t="s">
        <v>104</v>
      </c>
      <c r="B20" s="133" t="s">
        <v>841</v>
      </c>
      <c r="C20" s="133"/>
      <c r="D20" s="194">
        <v>513639</v>
      </c>
      <c r="E20" s="194">
        <v>536518</v>
      </c>
      <c r="F20" s="559"/>
      <c r="G20" s="3"/>
      <c r="H20" s="553" t="s">
        <v>39</v>
      </c>
      <c r="I20" s="554" t="s">
        <v>908</v>
      </c>
      <c r="J20" s="553" t="s">
        <v>46</v>
      </c>
      <c r="K20" s="553" t="s">
        <v>712</v>
      </c>
      <c r="L20" s="553" t="s">
        <v>909</v>
      </c>
    </row>
    <row r="21" spans="1:21" x14ac:dyDescent="0.35">
      <c r="A21" s="551" t="s">
        <v>105</v>
      </c>
      <c r="B21" s="551" t="s">
        <v>106</v>
      </c>
      <c r="C21" s="551"/>
      <c r="D21" s="550">
        <v>159697</v>
      </c>
      <c r="E21" s="550">
        <f>E22+E23</f>
        <v>184996.41999999929</v>
      </c>
      <c r="F21" s="560">
        <f>SUM(F22:F23)</f>
        <v>360012</v>
      </c>
      <c r="G21" s="538"/>
      <c r="H21" s="4" t="s">
        <v>906</v>
      </c>
      <c r="I21" s="563">
        <v>366419.74001000007</v>
      </c>
      <c r="J21" s="590">
        <f>Veehind!B14</f>
        <v>2.13</v>
      </c>
      <c r="K21" s="563">
        <f>J21*I21</f>
        <v>780474.04622130014</v>
      </c>
      <c r="L21" s="591">
        <f>K21/(K21+K22)</f>
        <v>0.68966556949553559</v>
      </c>
    </row>
    <row r="22" spans="1:21" x14ac:dyDescent="0.35">
      <c r="B22" s="100" t="s">
        <v>107</v>
      </c>
      <c r="C22" s="100"/>
      <c r="D22" s="552">
        <v>66742</v>
      </c>
      <c r="E22" s="574">
        <v>88449.419999999765</v>
      </c>
      <c r="F22" s="559">
        <v>160356</v>
      </c>
      <c r="G22" s="538"/>
      <c r="H22" s="4" t="s">
        <v>907</v>
      </c>
      <c r="I22" s="563">
        <v>181029</v>
      </c>
      <c r="J22" s="590">
        <f>Veehind!B15</f>
        <v>1.94</v>
      </c>
      <c r="K22" s="563">
        <f>J22*I22</f>
        <v>351196.26</v>
      </c>
      <c r="L22" s="591">
        <f>100%-L21</f>
        <v>0.31033443050446441</v>
      </c>
    </row>
    <row r="23" spans="1:21" x14ac:dyDescent="0.35">
      <c r="B23" s="100" t="s">
        <v>1058</v>
      </c>
      <c r="C23" s="100"/>
      <c r="D23" s="552">
        <f>D21-D22</f>
        <v>92955</v>
      </c>
      <c r="E23" s="574">
        <f>75205.8999999995+21341.1</f>
        <v>96546.999999999505</v>
      </c>
      <c r="F23" s="559">
        <v>199656</v>
      </c>
      <c r="G23" s="538" t="s">
        <v>897</v>
      </c>
    </row>
    <row r="24" spans="1:21" x14ac:dyDescent="0.35">
      <c r="A24" s="133" t="s">
        <v>108</v>
      </c>
      <c r="B24" s="133" t="s">
        <v>109</v>
      </c>
      <c r="C24" s="133"/>
      <c r="D24" s="194">
        <v>13958085</v>
      </c>
      <c r="E24" s="194">
        <v>37469217</v>
      </c>
      <c r="F24" s="559"/>
      <c r="G24" s="3"/>
    </row>
    <row r="25" spans="1:21" x14ac:dyDescent="0.35">
      <c r="A25" s="551" t="s">
        <v>110</v>
      </c>
      <c r="B25" s="551" t="s">
        <v>111</v>
      </c>
      <c r="C25" s="551"/>
      <c r="D25" s="735">
        <f>D26+D27</f>
        <v>4338664.9499999946</v>
      </c>
      <c r="E25" s="735">
        <f>E26+E27</f>
        <v>10195444.33</v>
      </c>
      <c r="F25" s="560">
        <f>SUM(F26:F27)</f>
        <v>10068700</v>
      </c>
      <c r="G25" s="538"/>
    </row>
    <row r="26" spans="1:21" x14ac:dyDescent="0.35">
      <c r="B26" s="100" t="s">
        <v>112</v>
      </c>
      <c r="C26" s="100"/>
      <c r="D26" s="574">
        <v>1970408.9000000011</v>
      </c>
      <c r="E26" s="574">
        <v>4498715.6099999985</v>
      </c>
      <c r="F26" s="559">
        <v>4568400</v>
      </c>
      <c r="G26" s="574" t="s">
        <v>1060</v>
      </c>
    </row>
    <row r="27" spans="1:21" x14ac:dyDescent="0.35">
      <c r="B27" s="100" t="s">
        <v>1057</v>
      </c>
      <c r="C27" s="100"/>
      <c r="D27" s="574">
        <v>2368256.0499999933</v>
      </c>
      <c r="E27" s="574">
        <v>5696728.7200000016</v>
      </c>
      <c r="F27" s="559">
        <v>5500300</v>
      </c>
      <c r="G27" s="574" t="s">
        <v>1060</v>
      </c>
    </row>
    <row r="28" spans="1:21" x14ac:dyDescent="0.35">
      <c r="A28" s="133" t="s">
        <v>113</v>
      </c>
      <c r="B28" s="133" t="s">
        <v>114</v>
      </c>
      <c r="C28" s="133"/>
      <c r="D28" s="194">
        <v>2541200</v>
      </c>
      <c r="E28" s="194">
        <v>2869122</v>
      </c>
      <c r="F28" s="557"/>
      <c r="G28" s="3"/>
      <c r="H28" s="3"/>
    </row>
    <row r="29" spans="1:21" x14ac:dyDescent="0.35">
      <c r="A29" s="133"/>
      <c r="B29" s="133"/>
      <c r="C29" s="572">
        <v>2020</v>
      </c>
      <c r="D29" s="572">
        <v>2021</v>
      </c>
      <c r="E29" s="572">
        <v>2022</v>
      </c>
      <c r="F29" s="573">
        <v>2023</v>
      </c>
      <c r="G29" s="582">
        <v>2024</v>
      </c>
      <c r="H29" s="583">
        <v>2025</v>
      </c>
      <c r="I29" s="582">
        <v>2026</v>
      </c>
      <c r="J29" s="582">
        <v>2027</v>
      </c>
      <c r="K29" s="582">
        <v>2028</v>
      </c>
      <c r="L29" s="582">
        <v>2029</v>
      </c>
      <c r="M29" s="582">
        <v>2030</v>
      </c>
      <c r="N29" s="582">
        <v>2031</v>
      </c>
      <c r="O29" s="582">
        <v>2032</v>
      </c>
      <c r="P29" s="582">
        <v>2033</v>
      </c>
      <c r="Q29" s="582">
        <v>2034</v>
      </c>
      <c r="R29" s="582">
        <v>2035</v>
      </c>
      <c r="S29" s="582">
        <v>2036</v>
      </c>
      <c r="T29" s="582">
        <v>2037</v>
      </c>
    </row>
    <row r="30" spans="1:21" x14ac:dyDescent="0.35">
      <c r="A30" s="551" t="s">
        <v>115</v>
      </c>
      <c r="B30" s="581" t="s">
        <v>892</v>
      </c>
      <c r="C30" s="551">
        <v>1679700</v>
      </c>
      <c r="D30" s="550">
        <v>2541200</v>
      </c>
      <c r="E30" s="550">
        <v>2869122</v>
      </c>
      <c r="F30" s="559">
        <f>E30-F31</f>
        <v>2677847.2000000002</v>
      </c>
      <c r="G30" s="559">
        <f>F30-G31</f>
        <v>2486572.4000000004</v>
      </c>
      <c r="H30" s="559">
        <f t="shared" ref="H30:R30" si="3">G30-H31</f>
        <v>2295297.6000000006</v>
      </c>
      <c r="I30" s="559">
        <f t="shared" si="3"/>
        <v>2104022.8000000007</v>
      </c>
      <c r="J30" s="559">
        <f t="shared" si="3"/>
        <v>1912748.0000000007</v>
      </c>
      <c r="K30" s="559">
        <f t="shared" si="3"/>
        <v>1721473.2000000007</v>
      </c>
      <c r="L30" s="559">
        <f t="shared" si="3"/>
        <v>1530198.4000000006</v>
      </c>
      <c r="M30" s="559">
        <f t="shared" si="3"/>
        <v>1338923.6000000006</v>
      </c>
      <c r="N30" s="559">
        <f t="shared" si="3"/>
        <v>1147648.8000000005</v>
      </c>
      <c r="O30" s="559">
        <f t="shared" si="3"/>
        <v>956374.00000000047</v>
      </c>
      <c r="P30" s="559">
        <f t="shared" si="3"/>
        <v>765099.20000000042</v>
      </c>
      <c r="Q30" s="559">
        <f t="shared" si="3"/>
        <v>573824.40000000037</v>
      </c>
      <c r="R30" s="559">
        <f t="shared" si="3"/>
        <v>382549.60000000021</v>
      </c>
      <c r="S30" s="559">
        <f t="shared" ref="S30" si="4">R30-S31</f>
        <v>191274.8000000001</v>
      </c>
      <c r="T30" s="559">
        <f t="shared" ref="T30" si="5">S30-T31</f>
        <v>0</v>
      </c>
    </row>
    <row r="31" spans="1:21" x14ac:dyDescent="0.35">
      <c r="A31" s="557" t="s">
        <v>891</v>
      </c>
      <c r="B31" s="575" t="s">
        <v>890</v>
      </c>
      <c r="C31" s="575"/>
      <c r="D31" s="550">
        <f>C30/($A32-C$29)</f>
        <v>98805.882352941175</v>
      </c>
      <c r="E31" s="550">
        <f t="shared" ref="E31:T31" si="6">D30/($A32-D$29)</f>
        <v>158825</v>
      </c>
      <c r="F31" s="559">
        <f t="shared" si="6"/>
        <v>191274.8</v>
      </c>
      <c r="G31" s="559">
        <f t="shared" si="6"/>
        <v>191274.80000000002</v>
      </c>
      <c r="H31" s="559">
        <f t="shared" si="6"/>
        <v>191274.80000000002</v>
      </c>
      <c r="I31" s="559">
        <f t="shared" si="6"/>
        <v>191274.80000000005</v>
      </c>
      <c r="J31" s="559">
        <f t="shared" si="6"/>
        <v>191274.80000000008</v>
      </c>
      <c r="K31" s="559">
        <f t="shared" si="6"/>
        <v>191274.80000000008</v>
      </c>
      <c r="L31" s="559">
        <f t="shared" si="6"/>
        <v>191274.80000000008</v>
      </c>
      <c r="M31" s="559">
        <f t="shared" si="6"/>
        <v>191274.80000000008</v>
      </c>
      <c r="N31" s="559">
        <f t="shared" si="6"/>
        <v>191274.80000000008</v>
      </c>
      <c r="O31" s="559">
        <f t="shared" si="6"/>
        <v>191274.80000000008</v>
      </c>
      <c r="P31" s="559">
        <f t="shared" si="6"/>
        <v>191274.8000000001</v>
      </c>
      <c r="Q31" s="559">
        <f t="shared" si="6"/>
        <v>191274.8000000001</v>
      </c>
      <c r="R31" s="559">
        <f t="shared" si="6"/>
        <v>191274.80000000013</v>
      </c>
      <c r="S31" s="559">
        <f t="shared" si="6"/>
        <v>191274.8000000001</v>
      </c>
      <c r="T31" s="559">
        <f t="shared" si="6"/>
        <v>191274.8000000001</v>
      </c>
    </row>
    <row r="32" spans="1:21" s="100" customFormat="1" x14ac:dyDescent="0.35">
      <c r="A32" s="574">
        <f>2037</f>
        <v>2037</v>
      </c>
      <c r="B32" s="576" t="s">
        <v>888</v>
      </c>
      <c r="C32" s="577">
        <v>1.2500000000000001E-2</v>
      </c>
      <c r="D32" s="577">
        <v>1.2500000000000001E-2</v>
      </c>
      <c r="E32" s="577">
        <v>2.4899999999999999E-2</v>
      </c>
      <c r="F32" s="585">
        <f>$A33+Veehind!D$7</f>
        <v>4.7500000000000001E-2</v>
      </c>
      <c r="G32" s="585">
        <f>$A33+4%</f>
        <v>5.2500000000000005E-2</v>
      </c>
      <c r="H32" s="585">
        <f t="shared" ref="H32:T32" si="7">$A33+4%</f>
        <v>5.2500000000000005E-2</v>
      </c>
      <c r="I32" s="585">
        <f t="shared" si="7"/>
        <v>5.2500000000000005E-2</v>
      </c>
      <c r="J32" s="585">
        <f t="shared" si="7"/>
        <v>5.2500000000000005E-2</v>
      </c>
      <c r="K32" s="585">
        <f t="shared" si="7"/>
        <v>5.2500000000000005E-2</v>
      </c>
      <c r="L32" s="585">
        <f t="shared" si="7"/>
        <v>5.2500000000000005E-2</v>
      </c>
      <c r="M32" s="585">
        <f t="shared" si="7"/>
        <v>5.2500000000000005E-2</v>
      </c>
      <c r="N32" s="585">
        <f t="shared" si="7"/>
        <v>5.2500000000000005E-2</v>
      </c>
      <c r="O32" s="585">
        <f t="shared" si="7"/>
        <v>5.2500000000000005E-2</v>
      </c>
      <c r="P32" s="585">
        <f t="shared" si="7"/>
        <v>5.2500000000000005E-2</v>
      </c>
      <c r="Q32" s="585">
        <f t="shared" si="7"/>
        <v>5.2500000000000005E-2</v>
      </c>
      <c r="R32" s="585">
        <f t="shared" si="7"/>
        <v>5.2500000000000005E-2</v>
      </c>
      <c r="S32" s="585">
        <f t="shared" si="7"/>
        <v>5.2500000000000005E-2</v>
      </c>
      <c r="T32" s="585">
        <f t="shared" si="7"/>
        <v>5.2500000000000005E-2</v>
      </c>
      <c r="U32" s="584"/>
    </row>
    <row r="33" spans="1:20" x14ac:dyDescent="0.35">
      <c r="A33" s="586">
        <v>1.2500000000000001E-2</v>
      </c>
      <c r="B33" s="575" t="s">
        <v>889</v>
      </c>
      <c r="C33" s="575"/>
      <c r="D33" s="578">
        <f>D32*C30</f>
        <v>20996.25</v>
      </c>
      <c r="E33" s="578">
        <f>AVERAGE(D$32:E$32)*D30</f>
        <v>47520.44</v>
      </c>
      <c r="F33" s="559">
        <f t="shared" ref="F33:T33" si="8">AVERAGE(E$32:F$32)*E30</f>
        <v>103862.21639999999</v>
      </c>
      <c r="G33" s="559">
        <f t="shared" si="8"/>
        <v>133892.36000000002</v>
      </c>
      <c r="H33" s="559">
        <f t="shared" si="8"/>
        <v>130545.05100000004</v>
      </c>
      <c r="I33" s="559">
        <f t="shared" si="8"/>
        <v>120503.12400000004</v>
      </c>
      <c r="J33" s="559">
        <f t="shared" si="8"/>
        <v>110461.19700000004</v>
      </c>
      <c r="K33" s="559">
        <f t="shared" si="8"/>
        <v>100419.27000000005</v>
      </c>
      <c r="L33" s="559">
        <f t="shared" si="8"/>
        <v>90377.343000000037</v>
      </c>
      <c r="M33" s="559">
        <f t="shared" si="8"/>
        <v>80335.416000000041</v>
      </c>
      <c r="N33" s="559">
        <f t="shared" si="8"/>
        <v>70293.489000000031</v>
      </c>
      <c r="O33" s="559">
        <f t="shared" si="8"/>
        <v>60251.562000000034</v>
      </c>
      <c r="P33" s="559">
        <f t="shared" si="8"/>
        <v>50209.635000000031</v>
      </c>
      <c r="Q33" s="559">
        <f t="shared" si="8"/>
        <v>40167.708000000028</v>
      </c>
      <c r="R33" s="559">
        <f t="shared" si="8"/>
        <v>30125.781000000021</v>
      </c>
      <c r="S33" s="559">
        <f t="shared" si="8"/>
        <v>20083.854000000014</v>
      </c>
      <c r="T33" s="559">
        <f t="shared" si="8"/>
        <v>10041.927000000007</v>
      </c>
    </row>
    <row r="34" spans="1:20" x14ac:dyDescent="0.35">
      <c r="A34" s="557"/>
      <c r="B34" s="579"/>
      <c r="C34" s="579"/>
      <c r="D34" s="580"/>
      <c r="E34" s="593"/>
      <c r="F34" s="557"/>
      <c r="G34" s="538"/>
      <c r="H34" s="3"/>
    </row>
    <row r="35" spans="1:20" x14ac:dyDescent="0.35">
      <c r="A35" s="551" t="s">
        <v>116</v>
      </c>
      <c r="B35" s="581" t="s">
        <v>893</v>
      </c>
      <c r="D35" s="3"/>
      <c r="E35" s="3"/>
      <c r="F35" s="559">
        <v>470000</v>
      </c>
      <c r="G35" s="559">
        <f>F35-G36</f>
        <v>423000</v>
      </c>
      <c r="H35" s="559">
        <f t="shared" ref="H35:P35" si="9">G35-H36</f>
        <v>376000</v>
      </c>
      <c r="I35" s="559">
        <f t="shared" si="9"/>
        <v>329000</v>
      </c>
      <c r="J35" s="559">
        <f t="shared" si="9"/>
        <v>282000</v>
      </c>
      <c r="K35" s="559">
        <f t="shared" si="9"/>
        <v>235000</v>
      </c>
      <c r="L35" s="559">
        <f t="shared" si="9"/>
        <v>188000</v>
      </c>
      <c r="M35" s="559">
        <f t="shared" si="9"/>
        <v>141000</v>
      </c>
      <c r="N35" s="559">
        <f t="shared" si="9"/>
        <v>94000</v>
      </c>
      <c r="O35" s="559">
        <f t="shared" si="9"/>
        <v>47000</v>
      </c>
      <c r="P35" s="559">
        <f t="shared" si="9"/>
        <v>0</v>
      </c>
    </row>
    <row r="36" spans="1:20" x14ac:dyDescent="0.35">
      <c r="A36" s="557" t="s">
        <v>891</v>
      </c>
      <c r="B36" s="575" t="s">
        <v>894</v>
      </c>
      <c r="D36" s="3"/>
      <c r="E36" s="3"/>
      <c r="F36" s="559">
        <f t="shared" ref="F36" si="10">E35/($A37-E$29)</f>
        <v>0</v>
      </c>
      <c r="G36" s="559">
        <f t="shared" ref="G36" si="11">F35/($A37-F$29)</f>
        <v>47000</v>
      </c>
      <c r="H36" s="559">
        <f t="shared" ref="H36" si="12">G35/($A37-G$29)</f>
        <v>47000</v>
      </c>
      <c r="I36" s="559">
        <f t="shared" ref="I36" si="13">H35/($A37-H$29)</f>
        <v>47000</v>
      </c>
      <c r="J36" s="559">
        <f t="shared" ref="J36" si="14">I35/($A37-I$29)</f>
        <v>47000</v>
      </c>
      <c r="K36" s="559">
        <f t="shared" ref="K36" si="15">J35/($A37-J$29)</f>
        <v>47000</v>
      </c>
      <c r="L36" s="559">
        <f t="shared" ref="L36" si="16">K35/($A37-K$29)</f>
        <v>47000</v>
      </c>
      <c r="M36" s="559">
        <f t="shared" ref="M36" si="17">L35/($A37-L$29)</f>
        <v>47000</v>
      </c>
      <c r="N36" s="559">
        <f t="shared" ref="N36" si="18">M35/($A37-M$29)</f>
        <v>47000</v>
      </c>
      <c r="O36" s="559">
        <f t="shared" ref="O36" si="19">N35/($A37-N$29)</f>
        <v>47000</v>
      </c>
      <c r="P36" s="559">
        <f t="shared" ref="P36" si="20">O35/($A37-O$29)</f>
        <v>47000</v>
      </c>
    </row>
    <row r="37" spans="1:20" x14ac:dyDescent="0.35">
      <c r="A37" s="574">
        <f>2023+10</f>
        <v>2033</v>
      </c>
      <c r="B37" s="576" t="s">
        <v>895</v>
      </c>
      <c r="D37" s="3"/>
      <c r="E37" s="3"/>
      <c r="F37" s="585">
        <f>$A38+Veehind!D$7</f>
        <v>5.0900000000000001E-2</v>
      </c>
      <c r="G37" s="585">
        <f>$A38+Veehind!E$7</f>
        <v>5.5900000000000005E-2</v>
      </c>
      <c r="H37" s="585">
        <f>$A38+Veehind!F$7</f>
        <v>5.5900000000000005E-2</v>
      </c>
      <c r="I37" s="585">
        <f>$A38+Veehind!G$7</f>
        <v>5.3400000000000003E-2</v>
      </c>
      <c r="J37" s="585">
        <f>$A38+Veehind!H$7</f>
        <v>5.0900000000000001E-2</v>
      </c>
      <c r="K37" s="585">
        <f>$A38+Veehind!I$7</f>
        <v>4.5899999999999996E-2</v>
      </c>
      <c r="L37" s="585">
        <f>$A38+Veehind!J$7</f>
        <v>4.5899999999999996E-2</v>
      </c>
      <c r="M37" s="585">
        <f>$A38+Veehind!K$7</f>
        <v>4.5899999999999996E-2</v>
      </c>
      <c r="N37" s="585">
        <f>$A38+Veehind!L$7</f>
        <v>4.5899999999999996E-2</v>
      </c>
      <c r="O37" s="585">
        <f>$A38+Veehind!M$7</f>
        <v>4.5899999999999996E-2</v>
      </c>
      <c r="P37" s="585">
        <f>$A38+Veehind!N$7</f>
        <v>4.5899999999999996E-2</v>
      </c>
      <c r="Q37" s="584"/>
    </row>
    <row r="38" spans="1:20" x14ac:dyDescent="0.35">
      <c r="A38" s="587">
        <v>1.5900000000000001E-2</v>
      </c>
      <c r="B38" s="575" t="s">
        <v>896</v>
      </c>
      <c r="D38" s="3"/>
      <c r="E38" s="3"/>
      <c r="F38" s="559">
        <f>AVERAGE(E$37:F$37)*E35</f>
        <v>0</v>
      </c>
      <c r="G38" s="559">
        <f t="shared" ref="G38:P38" si="21">AVERAGE(F$37:G$37)*F35</f>
        <v>25098</v>
      </c>
      <c r="H38" s="559">
        <f t="shared" si="21"/>
        <v>23645.7</v>
      </c>
      <c r="I38" s="559">
        <f t="shared" si="21"/>
        <v>20548.400000000001</v>
      </c>
      <c r="J38" s="559">
        <f t="shared" si="21"/>
        <v>17157.350000000002</v>
      </c>
      <c r="K38" s="559">
        <f t="shared" si="21"/>
        <v>13648.8</v>
      </c>
      <c r="L38" s="559">
        <f t="shared" si="21"/>
        <v>10786.5</v>
      </c>
      <c r="M38" s="559">
        <f t="shared" si="21"/>
        <v>8629.1999999999989</v>
      </c>
      <c r="N38" s="559">
        <f t="shared" si="21"/>
        <v>6471.9</v>
      </c>
      <c r="O38" s="559">
        <f t="shared" si="21"/>
        <v>4314.5999999999995</v>
      </c>
      <c r="P38" s="559">
        <f t="shared" si="21"/>
        <v>2157.2999999999997</v>
      </c>
    </row>
    <row r="39" spans="1:20" x14ac:dyDescent="0.35">
      <c r="A39" s="574"/>
      <c r="D39" s="3"/>
      <c r="E39" s="3"/>
      <c r="G39" s="3"/>
      <c r="H39" s="3"/>
    </row>
    <row r="40" spans="1:20" x14ac:dyDescent="0.35">
      <c r="A40" s="574"/>
      <c r="B40" s="582" t="s">
        <v>898</v>
      </c>
      <c r="D40" s="3"/>
      <c r="E40" s="3"/>
      <c r="G40" s="3"/>
      <c r="H40" s="3"/>
    </row>
    <row r="41" spans="1:20" x14ac:dyDescent="0.35">
      <c r="A41" s="574"/>
      <c r="B41" s="588" t="s">
        <v>65</v>
      </c>
      <c r="C41" s="68"/>
      <c r="D41" s="589">
        <f>D30-(C30-D31)</f>
        <v>960305.8823529412</v>
      </c>
      <c r="E41" s="589">
        <f>E30-(D30-E31)</f>
        <v>486747</v>
      </c>
      <c r="F41" s="589">
        <f>F35</f>
        <v>470000</v>
      </c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</row>
    <row r="42" spans="1:20" x14ac:dyDescent="0.35">
      <c r="A42" s="574"/>
      <c r="B42" s="588" t="s">
        <v>86</v>
      </c>
      <c r="C42" s="68"/>
      <c r="D42" s="589">
        <f>C44</f>
        <v>1679700</v>
      </c>
      <c r="E42" s="589">
        <f t="shared" ref="E42:T42" si="22">D44</f>
        <v>2541200</v>
      </c>
      <c r="F42" s="589">
        <f t="shared" si="22"/>
        <v>2869122</v>
      </c>
      <c r="G42" s="589">
        <f t="shared" si="22"/>
        <v>3147847.2</v>
      </c>
      <c r="H42" s="589">
        <f t="shared" si="22"/>
        <v>2909572.4000000004</v>
      </c>
      <c r="I42" s="589">
        <f t="shared" si="22"/>
        <v>2671297.6000000006</v>
      </c>
      <c r="J42" s="589">
        <f t="shared" si="22"/>
        <v>2433022.8000000007</v>
      </c>
      <c r="K42" s="589">
        <f t="shared" si="22"/>
        <v>2194748.0000000009</v>
      </c>
      <c r="L42" s="589">
        <f t="shared" si="22"/>
        <v>1956473.2000000007</v>
      </c>
      <c r="M42" s="589">
        <f t="shared" si="22"/>
        <v>1718198.4000000006</v>
      </c>
      <c r="N42" s="589">
        <f t="shared" si="22"/>
        <v>1479923.6000000006</v>
      </c>
      <c r="O42" s="589">
        <f t="shared" si="22"/>
        <v>1241648.8000000005</v>
      </c>
      <c r="P42" s="589">
        <f t="shared" si="22"/>
        <v>1003374.0000000005</v>
      </c>
      <c r="Q42" s="589">
        <f t="shared" si="22"/>
        <v>765099.20000000042</v>
      </c>
      <c r="R42" s="589">
        <f t="shared" si="22"/>
        <v>573824.40000000037</v>
      </c>
      <c r="S42" s="589">
        <f t="shared" si="22"/>
        <v>382549.60000000021</v>
      </c>
      <c r="T42" s="589">
        <f t="shared" si="22"/>
        <v>191274.8000000001</v>
      </c>
    </row>
    <row r="43" spans="1:20" x14ac:dyDescent="0.35">
      <c r="A43" s="574"/>
      <c r="B43" s="588" t="s">
        <v>87</v>
      </c>
      <c r="C43" s="68"/>
      <c r="D43" s="589">
        <f>D31+D36</f>
        <v>98805.882352941175</v>
      </c>
      <c r="E43" s="589">
        <f t="shared" ref="E43:T43" si="23">E31+E36</f>
        <v>158825</v>
      </c>
      <c r="F43" s="589">
        <f t="shared" si="23"/>
        <v>191274.8</v>
      </c>
      <c r="G43" s="589">
        <f t="shared" si="23"/>
        <v>238274.80000000002</v>
      </c>
      <c r="H43" s="589">
        <f t="shared" si="23"/>
        <v>238274.80000000002</v>
      </c>
      <c r="I43" s="589">
        <f t="shared" si="23"/>
        <v>238274.80000000005</v>
      </c>
      <c r="J43" s="589">
        <f t="shared" si="23"/>
        <v>238274.80000000008</v>
      </c>
      <c r="K43" s="589">
        <f t="shared" si="23"/>
        <v>238274.80000000008</v>
      </c>
      <c r="L43" s="589">
        <f t="shared" si="23"/>
        <v>238274.80000000008</v>
      </c>
      <c r="M43" s="589">
        <f t="shared" si="23"/>
        <v>238274.80000000008</v>
      </c>
      <c r="N43" s="589">
        <f t="shared" si="23"/>
        <v>238274.80000000008</v>
      </c>
      <c r="O43" s="589">
        <f t="shared" si="23"/>
        <v>238274.80000000008</v>
      </c>
      <c r="P43" s="589">
        <f t="shared" si="23"/>
        <v>238274.8000000001</v>
      </c>
      <c r="Q43" s="589">
        <f t="shared" si="23"/>
        <v>191274.8000000001</v>
      </c>
      <c r="R43" s="589">
        <f t="shared" si="23"/>
        <v>191274.80000000013</v>
      </c>
      <c r="S43" s="589">
        <f t="shared" si="23"/>
        <v>191274.8000000001</v>
      </c>
      <c r="T43" s="589">
        <f t="shared" si="23"/>
        <v>191274.8000000001</v>
      </c>
    </row>
    <row r="44" spans="1:20" x14ac:dyDescent="0.35">
      <c r="A44" s="574"/>
      <c r="B44" s="588" t="s">
        <v>88</v>
      </c>
      <c r="C44" s="589">
        <f>C30+C35</f>
        <v>1679700</v>
      </c>
      <c r="D44" s="589">
        <f t="shared" ref="D44:T44" si="24">D30+D35</f>
        <v>2541200</v>
      </c>
      <c r="E44" s="589">
        <f t="shared" si="24"/>
        <v>2869122</v>
      </c>
      <c r="F44" s="589">
        <f t="shared" si="24"/>
        <v>3147847.2</v>
      </c>
      <c r="G44" s="589">
        <f t="shared" si="24"/>
        <v>2909572.4000000004</v>
      </c>
      <c r="H44" s="589">
        <f t="shared" si="24"/>
        <v>2671297.6000000006</v>
      </c>
      <c r="I44" s="589">
        <f t="shared" si="24"/>
        <v>2433022.8000000007</v>
      </c>
      <c r="J44" s="589">
        <f t="shared" si="24"/>
        <v>2194748.0000000009</v>
      </c>
      <c r="K44" s="589">
        <f t="shared" si="24"/>
        <v>1956473.2000000007</v>
      </c>
      <c r="L44" s="589">
        <f t="shared" si="24"/>
        <v>1718198.4000000006</v>
      </c>
      <c r="M44" s="589">
        <f t="shared" si="24"/>
        <v>1479923.6000000006</v>
      </c>
      <c r="N44" s="589">
        <f t="shared" si="24"/>
        <v>1241648.8000000005</v>
      </c>
      <c r="O44" s="589">
        <f t="shared" si="24"/>
        <v>1003374.0000000005</v>
      </c>
      <c r="P44" s="589">
        <f t="shared" si="24"/>
        <v>765099.20000000042</v>
      </c>
      <c r="Q44" s="589">
        <f t="shared" si="24"/>
        <v>573824.40000000037</v>
      </c>
      <c r="R44" s="589">
        <f t="shared" si="24"/>
        <v>382549.60000000021</v>
      </c>
      <c r="S44" s="589">
        <f t="shared" si="24"/>
        <v>191274.8000000001</v>
      </c>
      <c r="T44" s="589">
        <f t="shared" si="24"/>
        <v>0</v>
      </c>
    </row>
    <row r="45" spans="1:20" x14ac:dyDescent="0.35">
      <c r="A45" s="574"/>
      <c r="B45" s="588" t="s">
        <v>89</v>
      </c>
      <c r="C45" s="68"/>
      <c r="D45" s="589">
        <f>D33+D38</f>
        <v>20996.25</v>
      </c>
      <c r="E45" s="589">
        <f t="shared" ref="E45:T45" si="25">E33+E38</f>
        <v>47520.44</v>
      </c>
      <c r="F45" s="589">
        <f t="shared" si="25"/>
        <v>103862.21639999999</v>
      </c>
      <c r="G45" s="589">
        <f t="shared" si="25"/>
        <v>158990.36000000002</v>
      </c>
      <c r="H45" s="589">
        <f t="shared" si="25"/>
        <v>154190.75100000005</v>
      </c>
      <c r="I45" s="589">
        <f t="shared" si="25"/>
        <v>141051.52400000003</v>
      </c>
      <c r="J45" s="589">
        <f t="shared" si="25"/>
        <v>127618.54700000005</v>
      </c>
      <c r="K45" s="589">
        <f t="shared" si="25"/>
        <v>114068.07000000005</v>
      </c>
      <c r="L45" s="589">
        <f t="shared" si="25"/>
        <v>101163.84300000004</v>
      </c>
      <c r="M45" s="589">
        <f t="shared" si="25"/>
        <v>88964.616000000038</v>
      </c>
      <c r="N45" s="589">
        <f t="shared" si="25"/>
        <v>76765.389000000025</v>
      </c>
      <c r="O45" s="589">
        <f t="shared" si="25"/>
        <v>64566.162000000033</v>
      </c>
      <c r="P45" s="589">
        <f t="shared" si="25"/>
        <v>52366.935000000034</v>
      </c>
      <c r="Q45" s="589">
        <f t="shared" si="25"/>
        <v>40167.708000000028</v>
      </c>
      <c r="R45" s="589">
        <f t="shared" si="25"/>
        <v>30125.781000000021</v>
      </c>
      <c r="S45" s="589">
        <f t="shared" si="25"/>
        <v>20083.854000000014</v>
      </c>
      <c r="T45" s="589">
        <f t="shared" si="25"/>
        <v>10041.927000000007</v>
      </c>
    </row>
    <row r="46" spans="1:20" x14ac:dyDescent="0.35">
      <c r="A46" s="574"/>
      <c r="D46" s="3"/>
      <c r="E46" s="3"/>
      <c r="G46" s="3"/>
      <c r="H46" s="3"/>
    </row>
    <row r="47" spans="1:20" x14ac:dyDescent="0.35">
      <c r="A47" t="s">
        <v>58</v>
      </c>
      <c r="B47" t="s">
        <v>117</v>
      </c>
      <c r="D47" s="3">
        <v>25</v>
      </c>
      <c r="E47" s="3">
        <v>24</v>
      </c>
      <c r="F47" s="557"/>
      <c r="G47" s="3"/>
      <c r="H47" s="3"/>
    </row>
    <row r="48" spans="1:20" x14ac:dyDescent="0.35">
      <c r="A48" t="s">
        <v>118</v>
      </c>
      <c r="B48" t="s">
        <v>119</v>
      </c>
      <c r="D48" s="3">
        <v>10</v>
      </c>
      <c r="E48" s="3">
        <v>10</v>
      </c>
      <c r="F48" s="557"/>
      <c r="G48" s="3"/>
      <c r="H48" s="3"/>
    </row>
    <row r="49" spans="1:8" x14ac:dyDescent="0.35">
      <c r="A49" t="s">
        <v>120</v>
      </c>
      <c r="B49" t="s">
        <v>121</v>
      </c>
      <c r="D49" s="3">
        <v>3</v>
      </c>
      <c r="E49" s="3">
        <v>3</v>
      </c>
      <c r="F49" s="557"/>
      <c r="G49" s="3"/>
      <c r="H49" s="3"/>
    </row>
    <row r="50" spans="1:8" x14ac:dyDescent="0.35">
      <c r="A50" t="s">
        <v>122</v>
      </c>
      <c r="B50" t="s">
        <v>123</v>
      </c>
      <c r="D50" s="3">
        <v>7</v>
      </c>
      <c r="E50" s="3">
        <v>7</v>
      </c>
      <c r="F50" s="557"/>
      <c r="G50" s="3"/>
      <c r="H50" s="3"/>
    </row>
    <row r="51" spans="1:8" x14ac:dyDescent="0.35">
      <c r="D51" s="3"/>
      <c r="E51" s="3"/>
      <c r="F51" s="557"/>
      <c r="G51" s="3"/>
      <c r="H51" s="3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CE28C-8C6B-42F3-9963-779FAFF590A8}">
  <dimension ref="A1:AK304"/>
  <sheetViews>
    <sheetView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10" sqref="J10"/>
    </sheetView>
  </sheetViews>
  <sheetFormatPr defaultRowHeight="14.5" outlineLevelRow="1" outlineLevelCol="1" x14ac:dyDescent="0.35"/>
  <cols>
    <col min="1" max="1" width="44.90625" customWidth="1"/>
    <col min="2" max="4" width="11.6328125" customWidth="1"/>
    <col min="5" max="5" width="9.453125" style="3" bestFit="1" customWidth="1"/>
    <col min="6" max="6" width="8.36328125" style="3" bestFit="1" customWidth="1"/>
    <col min="7" max="7" width="8.453125" style="3" customWidth="1"/>
    <col min="8" max="8" width="10.36328125" style="3" customWidth="1" outlineLevel="1"/>
    <col min="9" max="9" width="10.08984375" style="3" bestFit="1" customWidth="1"/>
    <col min="10" max="10" width="10.08984375" style="3" customWidth="1"/>
    <col min="11" max="20" width="8.90625" style="3" customWidth="1"/>
    <col min="21" max="21" width="9.81640625" style="3" bestFit="1" customWidth="1"/>
    <col min="23" max="23" width="28.90625" style="318" customWidth="1"/>
    <col min="24" max="24" width="11.1796875" style="332" bestFit="1" customWidth="1"/>
    <col min="25" max="25" width="8.6328125" style="332" customWidth="1"/>
    <col min="26" max="26" width="11.36328125" style="332" customWidth="1"/>
    <col min="27" max="27" width="9.81640625" style="332" customWidth="1"/>
    <col min="28" max="28" width="8.453125" style="332" customWidth="1"/>
    <col min="29" max="29" width="10.90625" style="332" customWidth="1"/>
    <col min="30" max="36" width="8.90625" style="332"/>
  </cols>
  <sheetData>
    <row r="1" spans="1:36" s="27" customFormat="1" ht="30" x14ac:dyDescent="0.35">
      <c r="A1" s="245" t="s">
        <v>142</v>
      </c>
      <c r="E1" s="246" t="s">
        <v>141</v>
      </c>
      <c r="F1" s="15"/>
      <c r="G1" s="15"/>
      <c r="H1" s="15"/>
      <c r="I1" s="361" t="s">
        <v>873</v>
      </c>
      <c r="J1" s="67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W1" s="313"/>
      <c r="X1" s="330" t="s">
        <v>432</v>
      </c>
      <c r="Y1" s="330" t="s">
        <v>274</v>
      </c>
      <c r="Z1" s="330" t="s">
        <v>487</v>
      </c>
      <c r="AA1" s="330" t="s">
        <v>488</v>
      </c>
      <c r="AB1" s="330" t="s">
        <v>282</v>
      </c>
      <c r="AC1" s="330" t="s">
        <v>434</v>
      </c>
      <c r="AD1" s="330" t="s">
        <v>433</v>
      </c>
      <c r="AE1" s="330" t="s">
        <v>483</v>
      </c>
      <c r="AF1" s="330" t="s">
        <v>484</v>
      </c>
      <c r="AG1" s="330" t="s">
        <v>562</v>
      </c>
      <c r="AH1" s="330" t="s">
        <v>563</v>
      </c>
      <c r="AI1" s="330" t="s">
        <v>435</v>
      </c>
      <c r="AJ1" s="331" t="s">
        <v>12</v>
      </c>
    </row>
    <row r="2" spans="1:36" x14ac:dyDescent="0.35">
      <c r="A2" s="51"/>
      <c r="B2" s="52" t="s">
        <v>1</v>
      </c>
      <c r="C2" s="52">
        <v>2022</v>
      </c>
      <c r="D2" s="52">
        <v>2035</v>
      </c>
      <c r="E2" s="40">
        <v>2020</v>
      </c>
      <c r="F2" s="40">
        <v>2021</v>
      </c>
      <c r="G2" s="40">
        <v>2022</v>
      </c>
      <c r="H2" s="40" t="s">
        <v>221</v>
      </c>
      <c r="I2" s="18">
        <v>2023</v>
      </c>
      <c r="J2" s="14">
        <v>2024</v>
      </c>
      <c r="K2" s="14">
        <v>2025</v>
      </c>
      <c r="L2" s="14">
        <v>2026</v>
      </c>
      <c r="M2" s="14">
        <v>2027</v>
      </c>
      <c r="N2" s="19">
        <v>2028</v>
      </c>
      <c r="O2" s="19">
        <v>2029</v>
      </c>
      <c r="P2" s="19">
        <v>2030</v>
      </c>
      <c r="Q2" s="19">
        <v>2031</v>
      </c>
      <c r="R2" s="19">
        <v>2032</v>
      </c>
      <c r="S2" s="19">
        <v>2033</v>
      </c>
      <c r="T2" s="19">
        <v>2034</v>
      </c>
      <c r="U2" s="19">
        <v>2035</v>
      </c>
      <c r="W2" s="995" t="s">
        <v>571</v>
      </c>
      <c r="X2" s="996"/>
      <c r="Y2" s="996"/>
      <c r="Z2" s="996"/>
      <c r="AA2" s="996"/>
      <c r="AB2" s="996"/>
      <c r="AC2" s="996"/>
      <c r="AD2" s="996"/>
      <c r="AE2" s="996"/>
      <c r="AF2" s="996"/>
      <c r="AG2" s="996"/>
      <c r="AH2" s="996"/>
      <c r="AI2" s="996"/>
      <c r="AJ2" s="997"/>
    </row>
    <row r="3" spans="1:36" s="250" customFormat="1" x14ac:dyDescent="0.35">
      <c r="A3" s="247" t="s">
        <v>523</v>
      </c>
      <c r="B3" s="248" t="s">
        <v>148</v>
      </c>
      <c r="C3" s="249">
        <f t="shared" ref="C3:C8" si="0">G3/365</f>
        <v>1140.5759726027397</v>
      </c>
      <c r="D3" s="249">
        <f t="shared" ref="D3:D8" si="1">U3/365</f>
        <v>1566.7445134031873</v>
      </c>
      <c r="E3" s="249">
        <f t="shared" ref="E3:H3" si="2">SUMIF($A:$A,$A$19,E:E)-E40-E103-E187-E208</f>
        <v>351395.5</v>
      </c>
      <c r="F3" s="249">
        <f t="shared" si="2"/>
        <v>382731.91</v>
      </c>
      <c r="G3" s="249">
        <f t="shared" si="2"/>
        <v>416310.23000000004</v>
      </c>
      <c r="H3" s="249">
        <f t="shared" si="2"/>
        <v>229531</v>
      </c>
      <c r="I3" s="249">
        <f>SUMIF($A:$A,$A$19,I:I)-I103-I208</f>
        <v>444266.18043505598</v>
      </c>
      <c r="J3" s="249">
        <f t="shared" ref="J3:U3" si="3">SUMIF($A:$A,$A$19,J:J)-J103-J208</f>
        <v>460132.2364879481</v>
      </c>
      <c r="K3" s="249">
        <f t="shared" si="3"/>
        <v>482374.26778731833</v>
      </c>
      <c r="L3" s="249">
        <f t="shared" si="3"/>
        <v>513310.94698426657</v>
      </c>
      <c r="M3" s="249">
        <f t="shared" si="3"/>
        <v>529660.51585652144</v>
      </c>
      <c r="N3" s="249">
        <f t="shared" si="3"/>
        <v>534864.3027278505</v>
      </c>
      <c r="O3" s="249">
        <f t="shared" si="3"/>
        <v>540056.15146987338</v>
      </c>
      <c r="P3" s="249">
        <f t="shared" si="3"/>
        <v>545265.10956558923</v>
      </c>
      <c r="Q3" s="249">
        <f t="shared" si="3"/>
        <v>550496.42489611718</v>
      </c>
      <c r="R3" s="249">
        <f t="shared" si="3"/>
        <v>555760.11290613783</v>
      </c>
      <c r="S3" s="249">
        <f t="shared" si="3"/>
        <v>561061.73414845171</v>
      </c>
      <c r="T3" s="249">
        <f t="shared" si="3"/>
        <v>566424.43681852496</v>
      </c>
      <c r="U3" s="249">
        <f t="shared" si="3"/>
        <v>571861.74739216338</v>
      </c>
      <c r="W3" s="314" t="s">
        <v>564</v>
      </c>
      <c r="X3" s="328">
        <f>C19</f>
        <v>632.58890228085602</v>
      </c>
      <c r="Y3" s="328">
        <f>C40</f>
        <v>0</v>
      </c>
      <c r="Z3" s="328">
        <f>C61</f>
        <v>76.93294998611708</v>
      </c>
      <c r="AA3" s="328">
        <f>C82</f>
        <v>125.67266828097205</v>
      </c>
      <c r="AB3" s="328">
        <f>C124</f>
        <v>48.898630136986299</v>
      </c>
      <c r="AC3" s="328">
        <f>C145</f>
        <v>194.94520547945206</v>
      </c>
      <c r="AD3" s="328">
        <f>C166</f>
        <v>10.594520547945205</v>
      </c>
      <c r="AE3" s="328">
        <f>C187</f>
        <v>0</v>
      </c>
      <c r="AF3" s="328">
        <f>C208</f>
        <v>6.2222222222222214</v>
      </c>
      <c r="AG3" s="328">
        <f>C229</f>
        <v>8.4456164383561632</v>
      </c>
      <c r="AH3" s="328">
        <f>C250</f>
        <v>37.375342465753427</v>
      </c>
      <c r="AI3" s="328">
        <f>C271</f>
        <v>5.1221369863013724</v>
      </c>
      <c r="AJ3" s="329">
        <f>SUM(X3:AI3)</f>
        <v>1146.7981948249619</v>
      </c>
    </row>
    <row r="4" spans="1:36" x14ac:dyDescent="0.35">
      <c r="A4" s="51" t="s">
        <v>146</v>
      </c>
      <c r="B4" s="52" t="s">
        <v>148</v>
      </c>
      <c r="C4" s="58">
        <f t="shared" si="0"/>
        <v>997.72482200000081</v>
      </c>
      <c r="D4" s="58">
        <f t="shared" si="1"/>
        <v>1342.6388291861563</v>
      </c>
      <c r="E4" s="58">
        <f>SUMIF($A:$A,$A$20,E:E)-E41-E104-E188-E209</f>
        <v>295936.41885999998</v>
      </c>
      <c r="F4" s="58">
        <f>SUMIF($A:$A,$A$20,F:F)-F41-F104-F188-F209</f>
        <v>330469.3400300006</v>
      </c>
      <c r="G4" s="58">
        <f>SUMIF($A:$A,$A$20,G:G)-G41-G104-G188-G209</f>
        <v>364169.56003000028</v>
      </c>
      <c r="H4" s="58"/>
      <c r="I4" s="58">
        <f>SUMIF($A:$A,$A$20,I:I)-I104-I209</f>
        <v>386960.03694080288</v>
      </c>
      <c r="J4" s="58">
        <f t="shared" ref="J4:U4" si="4">SUMIF($A:$A,$A$20,J:J)-J104-J209</f>
        <v>400764.01432935981</v>
      </c>
      <c r="K4" s="58">
        <f t="shared" si="4"/>
        <v>420328.7163362737</v>
      </c>
      <c r="L4" s="58">
        <f t="shared" si="4"/>
        <v>447615.49357893236</v>
      </c>
      <c r="M4" s="58">
        <f t="shared" si="4"/>
        <v>461667.16205393121</v>
      </c>
      <c r="N4" s="58">
        <f t="shared" si="4"/>
        <v>465249.41252417851</v>
      </c>
      <c r="O4" s="58">
        <f t="shared" si="4"/>
        <v>468793.13567500364</v>
      </c>
      <c r="P4" s="58">
        <f t="shared" si="4"/>
        <v>472324.87455235294</v>
      </c>
      <c r="Q4" s="58">
        <f t="shared" si="4"/>
        <v>475849.22451062454</v>
      </c>
      <c r="R4" s="58">
        <f t="shared" si="4"/>
        <v>479375.05489230354</v>
      </c>
      <c r="S4" s="58">
        <f t="shared" si="4"/>
        <v>482907.10267815151</v>
      </c>
      <c r="T4" s="58">
        <f t="shared" si="4"/>
        <v>486465.92158311169</v>
      </c>
      <c r="U4" s="58">
        <f t="shared" si="4"/>
        <v>490063.17265294702</v>
      </c>
      <c r="W4" s="314" t="s">
        <v>565</v>
      </c>
      <c r="X4" s="328">
        <f t="shared" ref="X4:X6" si="5">C20</f>
        <v>560.79356167123376</v>
      </c>
      <c r="Y4" s="328">
        <f>C41</f>
        <v>0</v>
      </c>
      <c r="Z4" s="328">
        <f>C62</f>
        <v>66.961369863013829</v>
      </c>
      <c r="AA4" s="328">
        <f>C83</f>
        <v>104.7412602739725</v>
      </c>
      <c r="AB4" s="328">
        <f>C125</f>
        <v>44.510547945205452</v>
      </c>
      <c r="AC4" s="328">
        <f>C146</f>
        <v>168.32101369863008</v>
      </c>
      <c r="AD4" s="328">
        <f>C167</f>
        <v>8.7466849863013678</v>
      </c>
      <c r="AE4" s="328">
        <f>C188</f>
        <v>0</v>
      </c>
      <c r="AF4" s="328">
        <f>C209</f>
        <v>5.6</v>
      </c>
      <c r="AG4" s="328">
        <f>C230</f>
        <v>8.3387671232876706</v>
      </c>
      <c r="AH4" s="328">
        <f>C251</f>
        <v>30.351123287671232</v>
      </c>
      <c r="AI4" s="328">
        <f>C272</f>
        <v>4.9604931506849335</v>
      </c>
      <c r="AJ4" s="329">
        <f>SUM(X4:AI4)</f>
        <v>1003.3248220000008</v>
      </c>
    </row>
    <row r="5" spans="1:36" x14ac:dyDescent="0.35">
      <c r="A5" s="65" t="s">
        <v>186</v>
      </c>
      <c r="B5" s="66" t="s">
        <v>148</v>
      </c>
      <c r="C5" s="72">
        <f t="shared" si="0"/>
        <v>774.10172610958966</v>
      </c>
      <c r="D5" s="72">
        <f t="shared" si="1"/>
        <v>1114.7363999532795</v>
      </c>
      <c r="E5" s="72">
        <f>SUMIF($A:$A,$A$21,E:E)-E42-E105-E189-E210</f>
        <v>228817.77889000002</v>
      </c>
      <c r="F5" s="72">
        <f>SUMIF($A:$A,$A$21,F:F)-F42-F105-F189-F210</f>
        <v>259048.64999000059</v>
      </c>
      <c r="G5" s="72">
        <f>SUMIF($A:$A,$A$21,G:G)-G42-G105-G189-G210</f>
        <v>282547.13003000023</v>
      </c>
      <c r="H5" s="74"/>
      <c r="I5" s="72">
        <f>SUMIF($A:$A,$A$21,I:I)-I105-I210</f>
        <v>307509.60027080291</v>
      </c>
      <c r="J5" s="72">
        <f t="shared" ref="J5:U5" si="6">SUMIF($A:$A,$A$21,J:J)-J105-J210</f>
        <v>321313.57765935978</v>
      </c>
      <c r="K5" s="72">
        <f t="shared" si="6"/>
        <v>340878.27966627362</v>
      </c>
      <c r="L5" s="72">
        <f t="shared" si="6"/>
        <v>360697.15690893237</v>
      </c>
      <c r="M5" s="72">
        <f t="shared" si="6"/>
        <v>378482.77538393118</v>
      </c>
      <c r="N5" s="72">
        <f t="shared" si="6"/>
        <v>382065.02585417859</v>
      </c>
      <c r="O5" s="72">
        <f t="shared" si="6"/>
        <v>385608.74900500366</v>
      </c>
      <c r="P5" s="72">
        <f t="shared" si="6"/>
        <v>389140.48788235296</v>
      </c>
      <c r="Q5" s="72">
        <f t="shared" si="6"/>
        <v>392664.83784062456</v>
      </c>
      <c r="R5" s="72">
        <f t="shared" si="6"/>
        <v>396190.6682223035</v>
      </c>
      <c r="S5" s="72">
        <f t="shared" si="6"/>
        <v>399722.71600815153</v>
      </c>
      <c r="T5" s="72">
        <f t="shared" si="6"/>
        <v>403281.53491311159</v>
      </c>
      <c r="U5" s="72">
        <f t="shared" si="6"/>
        <v>406878.78598294704</v>
      </c>
      <c r="W5" s="317" t="s">
        <v>566</v>
      </c>
      <c r="X5" s="328">
        <f t="shared" si="5"/>
        <v>484.44632879452132</v>
      </c>
      <c r="Y5" s="328">
        <f>C42</f>
        <v>0</v>
      </c>
      <c r="Z5" s="328">
        <f>C63</f>
        <v>66.640273972602856</v>
      </c>
      <c r="AA5" s="328">
        <f>C84</f>
        <v>80.7439999999999</v>
      </c>
      <c r="AB5" s="328">
        <f>C126</f>
        <v>36.780383561643809</v>
      </c>
      <c r="AC5" s="328">
        <f>C147</f>
        <v>58.352630136986292</v>
      </c>
      <c r="AD5" s="328">
        <f>C168</f>
        <v>8.3224384109589025</v>
      </c>
      <c r="AE5" s="328">
        <f>C189</f>
        <v>0</v>
      </c>
      <c r="AF5" s="328">
        <f>C210</f>
        <v>5.6</v>
      </c>
      <c r="AG5" s="328">
        <f>C231</f>
        <v>4.6891232876712321</v>
      </c>
      <c r="AH5" s="328">
        <f>C252</f>
        <v>29.497863013698627</v>
      </c>
      <c r="AI5" s="328">
        <f>C273</f>
        <v>4.6286849315068519</v>
      </c>
      <c r="AJ5" s="329">
        <f>SUM(X5:AI5)</f>
        <v>779.7017261095898</v>
      </c>
    </row>
    <row r="6" spans="1:36" x14ac:dyDescent="0.35">
      <c r="A6" s="65" t="s">
        <v>187</v>
      </c>
      <c r="B6" s="66" t="s">
        <v>148</v>
      </c>
      <c r="C6" s="72">
        <f t="shared" si="0"/>
        <v>223.62309589041098</v>
      </c>
      <c r="D6" s="72">
        <f t="shared" si="1"/>
        <v>227.9024292328767</v>
      </c>
      <c r="E6" s="72">
        <f>SUMIF($A:$A,$A$22,E:E)-E43-E106-E190-E211</f>
        <v>67118.639970000004</v>
      </c>
      <c r="F6" s="72">
        <f>SUMIF($A:$A,$A$22,F:F)-F43-F106-F190-F211</f>
        <v>71420.69004000003</v>
      </c>
      <c r="G6" s="72">
        <f>SUMIF($A:$A,$A$22,G:G)-G43-G106-G190-G211</f>
        <v>81622.430000000008</v>
      </c>
      <c r="H6" s="72"/>
      <c r="I6" s="72">
        <f>SUMIF($A:$A,$A$22,I:I)-I106-I211</f>
        <v>79450.436669999996</v>
      </c>
      <c r="J6" s="72">
        <f t="shared" ref="J6:U6" si="7">SUMIF($A:$A,$A$22,J:J)-J106-J211</f>
        <v>79450.436669999996</v>
      </c>
      <c r="K6" s="72">
        <f t="shared" si="7"/>
        <v>79450.436669999996</v>
      </c>
      <c r="L6" s="72">
        <f t="shared" si="7"/>
        <v>83184.386669999993</v>
      </c>
      <c r="M6" s="72">
        <f t="shared" si="7"/>
        <v>83184.386669999993</v>
      </c>
      <c r="N6" s="72">
        <f t="shared" si="7"/>
        <v>83184.386669999993</v>
      </c>
      <c r="O6" s="72">
        <f t="shared" si="7"/>
        <v>83184.386669999993</v>
      </c>
      <c r="P6" s="72">
        <f t="shared" si="7"/>
        <v>83184.386669999993</v>
      </c>
      <c r="Q6" s="72">
        <f t="shared" si="7"/>
        <v>83184.386669999993</v>
      </c>
      <c r="R6" s="72">
        <f t="shared" si="7"/>
        <v>83184.386669999993</v>
      </c>
      <c r="S6" s="72">
        <f t="shared" si="7"/>
        <v>83184.386669999993</v>
      </c>
      <c r="T6" s="72">
        <f t="shared" si="7"/>
        <v>83184.386669999993</v>
      </c>
      <c r="U6" s="72">
        <f t="shared" si="7"/>
        <v>83184.386669999993</v>
      </c>
      <c r="W6" s="317" t="s">
        <v>567</v>
      </c>
      <c r="X6" s="328">
        <f t="shared" si="5"/>
        <v>76.347232876712368</v>
      </c>
      <c r="Y6" s="328">
        <f>C43</f>
        <v>0</v>
      </c>
      <c r="Z6" s="328">
        <f>C64</f>
        <v>0.32109589041095893</v>
      </c>
      <c r="AA6" s="328">
        <f>C85</f>
        <v>23.997260273972607</v>
      </c>
      <c r="AB6" s="328">
        <f>C127</f>
        <v>7.730164383561644</v>
      </c>
      <c r="AC6" s="328">
        <f>C148</f>
        <v>109.96838356164382</v>
      </c>
      <c r="AD6" s="328">
        <f>C169</f>
        <v>0.42424657534246579</v>
      </c>
      <c r="AE6" s="328">
        <f>C190</f>
        <v>0</v>
      </c>
      <c r="AF6" s="328">
        <f>C211</f>
        <v>0</v>
      </c>
      <c r="AG6" s="328">
        <f>C232</f>
        <v>3.6496438356164385</v>
      </c>
      <c r="AH6" s="328">
        <f>C253</f>
        <v>0.85326027397260273</v>
      </c>
      <c r="AI6" s="328">
        <f>C274</f>
        <v>0.33180821917808218</v>
      </c>
      <c r="AJ6" s="329">
        <f>SUM(X6:AI6)</f>
        <v>223.62309589041098</v>
      </c>
    </row>
    <row r="7" spans="1:36" s="250" customFormat="1" x14ac:dyDescent="0.35">
      <c r="A7" s="272" t="s">
        <v>184</v>
      </c>
      <c r="B7" s="273" t="s">
        <v>148</v>
      </c>
      <c r="C7" s="274">
        <f t="shared" si="0"/>
        <v>60.747726027397263</v>
      </c>
      <c r="D7" s="274">
        <f t="shared" si="1"/>
        <v>67.431232876712329</v>
      </c>
      <c r="E7" s="274">
        <f>SUMIF($A:$A,$A23,E:E)-E44-E107-E191-E212</f>
        <v>23433.379999999997</v>
      </c>
      <c r="F7" s="274">
        <f>SUMIF($A:$A,$A23,F:F)-F44-F107-F191-F212</f>
        <v>28064.400000000001</v>
      </c>
      <c r="G7" s="274">
        <f>SUMIF($A:$A,$A23,G:G)-G44-G107-G191-G212</f>
        <v>22172.920000000002</v>
      </c>
      <c r="H7" s="274"/>
      <c r="I7" s="274">
        <f>SUMIF($A:$A,$A23,I:I)-I107-I212</f>
        <v>24612.399999999998</v>
      </c>
      <c r="J7" s="274">
        <f t="shared" ref="J7:U7" si="8">SUMIF($A:$A,$A23,J:J)-J107-J212</f>
        <v>24612.399999999998</v>
      </c>
      <c r="K7" s="274">
        <f t="shared" si="8"/>
        <v>24612.399999999998</v>
      </c>
      <c r="L7" s="274">
        <f t="shared" si="8"/>
        <v>24612.399999999998</v>
      </c>
      <c r="M7" s="274">
        <f t="shared" si="8"/>
        <v>24612.399999999998</v>
      </c>
      <c r="N7" s="274">
        <f t="shared" si="8"/>
        <v>24612.399999999998</v>
      </c>
      <c r="O7" s="274">
        <f t="shared" si="8"/>
        <v>24612.399999999998</v>
      </c>
      <c r="P7" s="274">
        <f t="shared" si="8"/>
        <v>24612.399999999998</v>
      </c>
      <c r="Q7" s="274">
        <f t="shared" si="8"/>
        <v>24612.399999999998</v>
      </c>
      <c r="R7" s="274">
        <f t="shared" si="8"/>
        <v>24612.399999999998</v>
      </c>
      <c r="S7" s="274">
        <f t="shared" si="8"/>
        <v>24612.399999999998</v>
      </c>
      <c r="T7" s="274">
        <f t="shared" si="8"/>
        <v>24612.399999999998</v>
      </c>
      <c r="U7" s="274">
        <f t="shared" si="8"/>
        <v>24612.399999999998</v>
      </c>
      <c r="W7" s="314" t="s">
        <v>568</v>
      </c>
      <c r="X7" s="328">
        <f>C24</f>
        <v>40.608984445238754</v>
      </c>
      <c r="Y7" s="328">
        <f>C45</f>
        <v>0</v>
      </c>
      <c r="Z7" s="328">
        <f>C66</f>
        <v>4.9387034107744974</v>
      </c>
      <c r="AA7" s="328">
        <f>C87</f>
        <v>8.0675449933009222</v>
      </c>
      <c r="AB7" s="328">
        <f>C129</f>
        <v>0.12506849315070886</v>
      </c>
      <c r="AC7" s="328">
        <f>C150</f>
        <v>21.773260273972646</v>
      </c>
      <c r="AD7" s="328">
        <f>C171</f>
        <v>1.11632871232877</v>
      </c>
      <c r="AE7" s="328">
        <f>C192</f>
        <v>0</v>
      </c>
      <c r="AF7" s="328">
        <f>C213</f>
        <v>0.62222222222222212</v>
      </c>
      <c r="AG7" s="356">
        <f>C234</f>
        <v>0</v>
      </c>
      <c r="AH7" s="328">
        <f>C255</f>
        <v>5.4735342465753432</v>
      </c>
      <c r="AI7" s="356">
        <f>C276</f>
        <v>0</v>
      </c>
      <c r="AJ7" s="329">
        <f>SUM(X7:AI7)</f>
        <v>82.725646797563854</v>
      </c>
    </row>
    <row r="8" spans="1:36" s="250" customFormat="1" x14ac:dyDescent="0.35">
      <c r="A8" s="272" t="s">
        <v>526</v>
      </c>
      <c r="B8" s="273" t="s">
        <v>148</v>
      </c>
      <c r="C8" s="274">
        <f t="shared" si="0"/>
        <v>82.103424575341791</v>
      </c>
      <c r="D8" s="274">
        <f t="shared" si="1"/>
        <v>156.67773901155158</v>
      </c>
      <c r="E8" s="274">
        <f>E3-E4-E7</f>
        <v>32025.701140000026</v>
      </c>
      <c r="F8" s="274">
        <f>F3-F4-F7</f>
        <v>24198.16996999937</v>
      </c>
      <c r="G8" s="274">
        <f>G3-G4-G7</f>
        <v>29967.749969999753</v>
      </c>
      <c r="H8" s="274"/>
      <c r="I8" s="274">
        <f>SUMIF($A:$A,$A$24,I:I)-I108-I213</f>
        <v>32694.736078967879</v>
      </c>
      <c r="J8" s="274">
        <f t="shared" ref="J8:U8" si="9">SUMIF($A:$A,$A$24,J:J)-J108-J213</f>
        <v>34756.923694576959</v>
      </c>
      <c r="K8" s="274">
        <f t="shared" si="9"/>
        <v>37434.261938306947</v>
      </c>
      <c r="L8" s="274">
        <f t="shared" si="9"/>
        <v>41084.172843870198</v>
      </c>
      <c r="M8" s="274">
        <f t="shared" si="9"/>
        <v>43382.082192400143</v>
      </c>
      <c r="N8" s="274">
        <f t="shared" si="9"/>
        <v>45003.62754475556</v>
      </c>
      <c r="O8" s="274">
        <f t="shared" si="9"/>
        <v>46651.76208722718</v>
      </c>
      <c r="P8" s="274">
        <f t="shared" si="9"/>
        <v>48328.990256867604</v>
      </c>
      <c r="Q8" s="274">
        <f t="shared" si="9"/>
        <v>50035.964580397413</v>
      </c>
      <c r="R8" s="274">
        <f t="shared" si="9"/>
        <v>51773.831160013033</v>
      </c>
      <c r="S8" s="274">
        <f t="shared" si="9"/>
        <v>53543.413567752505</v>
      </c>
      <c r="T8" s="274">
        <f t="shared" si="9"/>
        <v>55347.306284139544</v>
      </c>
      <c r="U8" s="274">
        <f t="shared" si="9"/>
        <v>57187.374739216328</v>
      </c>
      <c r="W8" s="314" t="s">
        <v>569</v>
      </c>
      <c r="X8" s="353">
        <f>C25</f>
        <v>6.4194904935605757E-2</v>
      </c>
      <c r="Y8" s="353" t="str">
        <f>C46</f>
        <v/>
      </c>
      <c r="Z8" s="353">
        <f>C67</f>
        <v>6.4194904935605784E-2</v>
      </c>
      <c r="AA8" s="353">
        <f>C88</f>
        <v>6.4194904935605784E-2</v>
      </c>
      <c r="AB8" s="353">
        <f>C130</f>
        <v>2.5577095472887009E-3</v>
      </c>
      <c r="AC8" s="353">
        <f>C151</f>
        <v>0.11168912936546997</v>
      </c>
      <c r="AD8" s="353">
        <f>C172</f>
        <v>0.1053684975433155</v>
      </c>
      <c r="AE8" s="353" t="str">
        <f>C193</f>
        <v/>
      </c>
      <c r="AF8" s="353">
        <f>C214</f>
        <v>0.1</v>
      </c>
      <c r="AG8" s="357">
        <f>C235</f>
        <v>0</v>
      </c>
      <c r="AH8" s="353">
        <f>C256</f>
        <v>0.14644773493622637</v>
      </c>
      <c r="AI8" s="357">
        <f>C277</f>
        <v>0</v>
      </c>
      <c r="AJ8" s="354">
        <f>AJ7/AJ3</f>
        <v>7.2136185050579393E-2</v>
      </c>
    </row>
    <row r="9" spans="1:36" s="254" customFormat="1" x14ac:dyDescent="0.35">
      <c r="A9" s="251" t="s">
        <v>536</v>
      </c>
      <c r="B9" s="252" t="s">
        <v>148</v>
      </c>
      <c r="C9" s="253">
        <f t="shared" ref="C9:C12" si="10">G9/365</f>
        <v>2064.0746191780818</v>
      </c>
      <c r="D9" s="253">
        <f t="shared" ref="D9:D12" si="11">U9/365</f>
        <v>3019.7744871565314</v>
      </c>
      <c r="E9" s="253">
        <f>SUMIF($A:$A,$A$29,E:E)-E50-E113-E197-E218+E13</f>
        <v>713981.81</v>
      </c>
      <c r="F9" s="253">
        <f>SUMIF($A:$A,$A$29,F:F)-F50-F113-F197-F218+F13</f>
        <v>739957.56177999987</v>
      </c>
      <c r="G9" s="253">
        <f>SUMIF($A:$A,$A$29,G:G)-G50-G113-G197-G218+G13</f>
        <v>753387.23599999992</v>
      </c>
      <c r="H9" s="253"/>
      <c r="I9" s="253">
        <f>SUMIF($A:$A,$A$29,I:I)-I218+I13</f>
        <v>879695.43090987962</v>
      </c>
      <c r="J9" s="253">
        <f t="shared" ref="J9:U9" si="12">SUMIF($A:$A,$A$29,J:J)-J218+J13</f>
        <v>923368.96304614074</v>
      </c>
      <c r="K9" s="253">
        <f t="shared" si="12"/>
        <v>977999.82051698398</v>
      </c>
      <c r="L9" s="253">
        <f t="shared" si="12"/>
        <v>1033864.0116143791</v>
      </c>
      <c r="M9" s="253">
        <f t="shared" si="12"/>
        <v>1060055.6949406208</v>
      </c>
      <c r="N9" s="253">
        <f t="shared" si="12"/>
        <v>1065149.8155178097</v>
      </c>
      <c r="O9" s="253">
        <f t="shared" si="12"/>
        <v>1070258.4298895756</v>
      </c>
      <c r="P9" s="253">
        <f t="shared" si="12"/>
        <v>1075414.484118701</v>
      </c>
      <c r="Q9" s="253">
        <f t="shared" si="12"/>
        <v>1080623.2438146018</v>
      </c>
      <c r="R9" s="253">
        <f t="shared" si="12"/>
        <v>1085895.4457989263</v>
      </c>
      <c r="S9" s="253">
        <f t="shared" si="12"/>
        <v>1091236.6536315365</v>
      </c>
      <c r="T9" s="253">
        <f t="shared" si="12"/>
        <v>1096672.5632705684</v>
      </c>
      <c r="U9" s="253">
        <f t="shared" si="12"/>
        <v>1102217.6878121339</v>
      </c>
      <c r="V9" s="250"/>
      <c r="W9" s="314" t="s">
        <v>570</v>
      </c>
      <c r="X9" s="328">
        <f>C26</f>
        <v>107.64940831369992</v>
      </c>
      <c r="Y9" s="328">
        <f>C47</f>
        <v>0</v>
      </c>
      <c r="Z9" s="328">
        <f>C68</f>
        <v>66.688289541072436</v>
      </c>
      <c r="AA9" s="328">
        <f>C89</f>
        <v>71.018699315706982</v>
      </c>
      <c r="AB9" s="328">
        <f>C131</f>
        <v>135.07443228214763</v>
      </c>
      <c r="AC9" s="328">
        <f>C152</f>
        <v>159.01338807591887</v>
      </c>
      <c r="AD9" s="328">
        <f>C173</f>
        <v>102.74615322171483</v>
      </c>
      <c r="AE9" s="328">
        <f>C194</f>
        <v>0</v>
      </c>
      <c r="AF9" s="328">
        <f>C215</f>
        <v>80</v>
      </c>
      <c r="AG9" s="328">
        <f>C236</f>
        <v>44.486577590495131</v>
      </c>
      <c r="AH9" s="328">
        <f>C257</f>
        <v>148.76942406627271</v>
      </c>
      <c r="AI9" s="328">
        <f>C278</f>
        <v>75</v>
      </c>
      <c r="AJ9" s="447">
        <f>AJ5*1000/AJ10</f>
        <v>99.790437296806857</v>
      </c>
    </row>
    <row r="10" spans="1:36" x14ac:dyDescent="0.35">
      <c r="A10" s="51" t="s">
        <v>147</v>
      </c>
      <c r="B10" s="52" t="s">
        <v>148</v>
      </c>
      <c r="C10" s="58">
        <f t="shared" si="10"/>
        <v>1499.859561671233</v>
      </c>
      <c r="D10" s="58">
        <f t="shared" si="11"/>
        <v>2155.18183823972</v>
      </c>
      <c r="E10" s="58">
        <f>SUMIF($A:$A,$A$30,E:E)-E51-E114-E198-E219</f>
        <v>477993.60887999984</v>
      </c>
      <c r="F10" s="58">
        <f>SUMIF($A:$A,$A$30,F:F)-F51-F114-F198-F219</f>
        <v>527649.26005000004</v>
      </c>
      <c r="G10" s="58">
        <f>SUMIF($A:$A,$A$30,G:G)-G51-G114-G198-G219</f>
        <v>547448.74001000007</v>
      </c>
      <c r="H10" s="58"/>
      <c r="I10" s="58">
        <f>SUMIF($A:$A,$A$30,I:I)-I219</f>
        <v>629333.59264251729</v>
      </c>
      <c r="J10" s="58">
        <f t="shared" ref="J10:U10" si="13">SUMIF($A:$A,$A$30,J:J)-J219</f>
        <v>662174.54042665823</v>
      </c>
      <c r="K10" s="58">
        <f t="shared" si="13"/>
        <v>703113.11703676742</v>
      </c>
      <c r="L10" s="58">
        <f t="shared" si="13"/>
        <v>744860.68327199051</v>
      </c>
      <c r="M10" s="58">
        <f t="shared" si="13"/>
        <v>764242.32052296342</v>
      </c>
      <c r="N10" s="58">
        <f t="shared" si="13"/>
        <v>767100.45827835135</v>
      </c>
      <c r="O10" s="58">
        <f t="shared" si="13"/>
        <v>769913.67793262494</v>
      </c>
      <c r="P10" s="58">
        <f t="shared" si="13"/>
        <v>772707.71412691846</v>
      </c>
      <c r="Q10" s="58">
        <f t="shared" si="13"/>
        <v>775487.09203023557</v>
      </c>
      <c r="R10" s="58">
        <f t="shared" si="13"/>
        <v>778260.39861080644</v>
      </c>
      <c r="S10" s="58">
        <f t="shared" si="13"/>
        <v>781032.21627871844</v>
      </c>
      <c r="T10" s="58">
        <f t="shared" si="13"/>
        <v>783822.19065324799</v>
      </c>
      <c r="U10" s="58">
        <f t="shared" si="13"/>
        <v>786641.37095749774</v>
      </c>
      <c r="W10" s="314" t="s">
        <v>578</v>
      </c>
      <c r="X10" s="315">
        <f>C27</f>
        <v>4500.2228659056054</v>
      </c>
      <c r="Y10" s="315">
        <f>C48</f>
        <v>0</v>
      </c>
      <c r="Z10" s="315">
        <f>C69</f>
        <v>999.28</v>
      </c>
      <c r="AA10" s="315">
        <f>C90</f>
        <v>1136.94</v>
      </c>
      <c r="AB10" s="315">
        <f>C132</f>
        <v>272.29715454080764</v>
      </c>
      <c r="AC10" s="315">
        <f>C153</f>
        <v>366.9667745782927</v>
      </c>
      <c r="AD10" s="315">
        <f>C174</f>
        <v>81</v>
      </c>
      <c r="AE10" s="315">
        <f>C195</f>
        <v>0</v>
      </c>
      <c r="AF10" s="315">
        <f>C216</f>
        <v>70</v>
      </c>
      <c r="AG10" s="315">
        <f>C237</f>
        <v>105.40535014482876</v>
      </c>
      <c r="AH10" s="315">
        <f>C258</f>
        <v>198.27906976744185</v>
      </c>
      <c r="AI10" s="315">
        <f>C279</f>
        <v>83</v>
      </c>
      <c r="AJ10" s="316">
        <f>SUM(X10:AI10)</f>
        <v>7813.3912149369753</v>
      </c>
    </row>
    <row r="11" spans="1:36" ht="16" x14ac:dyDescent="0.35">
      <c r="A11" s="65" t="s">
        <v>186</v>
      </c>
      <c r="B11" s="66" t="s">
        <v>148</v>
      </c>
      <c r="C11" s="72">
        <f t="shared" si="10"/>
        <v>706.32490413698667</v>
      </c>
      <c r="D11" s="72">
        <f t="shared" si="11"/>
        <v>1062.0157348054081</v>
      </c>
      <c r="E11" s="72">
        <f>SUMIF($A:$A,$A$31,E:E)-E52-E115-E199-E220</f>
        <v>206791.25890999992</v>
      </c>
      <c r="F11" s="72">
        <f>SUMIF($A:$A,$A$31,F:F)-F52-F115-F199-F220</f>
        <v>230080.66001000017</v>
      </c>
      <c r="G11" s="72">
        <f>SUMIF($A:$A,$A$31,G:G)-G52-G115-G199-G220</f>
        <v>257808.59001000013</v>
      </c>
      <c r="H11" s="74"/>
      <c r="I11" s="72">
        <f>SUMIF($A:$A,$A$31,I:I)-I220</f>
        <v>286368.69429057674</v>
      </c>
      <c r="J11" s="72">
        <f t="shared" ref="J11:U11" si="14">SUMIF($A:$A,$A$31,J:J)-J220</f>
        <v>304168.91267313441</v>
      </c>
      <c r="K11" s="72">
        <f t="shared" si="14"/>
        <v>322107.4892832436</v>
      </c>
      <c r="L11" s="72">
        <f t="shared" si="14"/>
        <v>345855.05551846675</v>
      </c>
      <c r="M11" s="72">
        <f t="shared" si="14"/>
        <v>365236.69276943966</v>
      </c>
      <c r="N11" s="72">
        <f t="shared" si="14"/>
        <v>368094.83052482759</v>
      </c>
      <c r="O11" s="72">
        <f t="shared" si="14"/>
        <v>370908.05017910106</v>
      </c>
      <c r="P11" s="72">
        <f t="shared" si="14"/>
        <v>373702.08637339465</v>
      </c>
      <c r="Q11" s="72">
        <f t="shared" si="14"/>
        <v>376481.46427671169</v>
      </c>
      <c r="R11" s="72">
        <f t="shared" si="14"/>
        <v>379254.77085728245</v>
      </c>
      <c r="S11" s="72">
        <f t="shared" si="14"/>
        <v>382026.58852519467</v>
      </c>
      <c r="T11" s="72">
        <f t="shared" si="14"/>
        <v>384816.56289972423</v>
      </c>
      <c r="U11" s="72">
        <f t="shared" si="14"/>
        <v>387635.74320397392</v>
      </c>
      <c r="W11" s="995" t="s">
        <v>838</v>
      </c>
      <c r="X11" s="996"/>
      <c r="Y11" s="996"/>
      <c r="Z11" s="996"/>
      <c r="AA11" s="996"/>
      <c r="AB11" s="996"/>
      <c r="AC11" s="996"/>
      <c r="AD11" s="996"/>
      <c r="AE11" s="996"/>
      <c r="AF11" s="996"/>
      <c r="AG11" s="996"/>
      <c r="AH11" s="996"/>
      <c r="AI11" s="996"/>
      <c r="AJ11" s="997"/>
    </row>
    <row r="12" spans="1:36" x14ac:dyDescent="0.35">
      <c r="A12" s="65" t="s">
        <v>187</v>
      </c>
      <c r="B12" s="66" t="s">
        <v>148</v>
      </c>
      <c r="C12" s="72">
        <f t="shared" si="10"/>
        <v>693.36575342465756</v>
      </c>
      <c r="D12" s="72">
        <f t="shared" si="11"/>
        <v>750.05925115068464</v>
      </c>
      <c r="E12" s="72">
        <f>SUMIF($A:$A,$A$32,E:E)-E53-E116-E200-E221</f>
        <v>271202.34996999992</v>
      </c>
      <c r="F12" s="72">
        <f>SUMIF($A:$A,$A$32,F:F)-F53-F116-F200-F221</f>
        <v>289924.6900399999</v>
      </c>
      <c r="G12" s="72">
        <f>SUMIF($A:$A,$A$32,G:G)-G53-G116-G200-G221</f>
        <v>253078.5</v>
      </c>
      <c r="H12" s="74"/>
      <c r="I12" s="72">
        <f>SUMIF($A:$A,$A$32,I:I)-I221</f>
        <v>273771.62666999991</v>
      </c>
      <c r="J12" s="72">
        <f t="shared" ref="J12:U12" si="15">SUMIF($A:$A,$A$32,J:J)-J221</f>
        <v>273771.62666999991</v>
      </c>
      <c r="K12" s="72">
        <f t="shared" si="15"/>
        <v>273771.62666999991</v>
      </c>
      <c r="L12" s="72">
        <f t="shared" si="15"/>
        <v>273771.62666999991</v>
      </c>
      <c r="M12" s="72">
        <f t="shared" si="15"/>
        <v>273771.62666999991</v>
      </c>
      <c r="N12" s="72">
        <f t="shared" si="15"/>
        <v>273771.62666999991</v>
      </c>
      <c r="O12" s="72">
        <f t="shared" si="15"/>
        <v>273771.62666999991</v>
      </c>
      <c r="P12" s="72">
        <f t="shared" si="15"/>
        <v>273771.62666999991</v>
      </c>
      <c r="Q12" s="72">
        <f t="shared" si="15"/>
        <v>273771.62666999991</v>
      </c>
      <c r="R12" s="72">
        <f t="shared" si="15"/>
        <v>273771.62666999991</v>
      </c>
      <c r="S12" s="72">
        <f t="shared" si="15"/>
        <v>273771.62666999991</v>
      </c>
      <c r="T12" s="72">
        <f t="shared" si="15"/>
        <v>273771.62666999991</v>
      </c>
      <c r="U12" s="72">
        <f t="shared" si="15"/>
        <v>273771.62666999991</v>
      </c>
      <c r="W12" s="314" t="s">
        <v>564</v>
      </c>
      <c r="X12" s="328">
        <f>D19</f>
        <v>715.69404851245747</v>
      </c>
      <c r="Y12" s="328">
        <f>D40</f>
        <v>14.938571483055668</v>
      </c>
      <c r="Z12" s="328">
        <f>D61</f>
        <v>232.8772671325051</v>
      </c>
      <c r="AA12" s="328">
        <f>D82</f>
        <v>255.10626865605389</v>
      </c>
      <c r="AB12" s="328">
        <f>D124</f>
        <v>57.750049958862832</v>
      </c>
      <c r="AC12" s="328">
        <f>D145</f>
        <v>219.3970740758021</v>
      </c>
      <c r="AD12" s="328">
        <f>D166</f>
        <v>11.322107859807717</v>
      </c>
      <c r="AE12" s="328">
        <f>D187</f>
        <v>0</v>
      </c>
      <c r="AF12" s="328">
        <f>D208</f>
        <v>6.7328100669496411</v>
      </c>
      <c r="AG12" s="328">
        <f>D229</f>
        <v>12.811466441967251</v>
      </c>
      <c r="AH12" s="328">
        <f>D250</f>
        <v>38.826930428921983</v>
      </c>
      <c r="AI12" s="328">
        <f>D271</f>
        <v>8.0207288537532566</v>
      </c>
      <c r="AJ12" s="329">
        <f>SUM(X12:AI12)</f>
        <v>1573.4773234701368</v>
      </c>
    </row>
    <row r="13" spans="1:36" x14ac:dyDescent="0.35">
      <c r="A13" s="277" t="s">
        <v>527</v>
      </c>
      <c r="B13" s="278" t="s">
        <v>148</v>
      </c>
      <c r="C13" s="279">
        <f>G13/365</f>
        <v>150.12663013698631</v>
      </c>
      <c r="D13" s="279">
        <f>U13/365</f>
        <v>84.919555196112782</v>
      </c>
      <c r="E13" s="279">
        <f>SM!U34+SM!U36</f>
        <v>63718.06</v>
      </c>
      <c r="F13" s="279">
        <f>SM!V34+SM!V36</f>
        <v>73878.94</v>
      </c>
      <c r="G13" s="279">
        <f>SM!W34+SM!W36</f>
        <v>54796.22</v>
      </c>
      <c r="H13" s="279">
        <f>SM!X10+SM!X27</f>
        <v>24277.406164889147</v>
      </c>
      <c r="I13" s="279">
        <f>H13*2</f>
        <v>48554.812329778295</v>
      </c>
      <c r="J13" s="279">
        <f>I13*95%</f>
        <v>46127.071713289377</v>
      </c>
      <c r="K13" s="279">
        <f t="shared" ref="K13:M13" si="16">J13*95%</f>
        <v>43820.718127624903</v>
      </c>
      <c r="L13" s="279">
        <f t="shared" si="16"/>
        <v>41629.682221243653</v>
      </c>
      <c r="M13" s="279">
        <f t="shared" si="16"/>
        <v>39548.198110181467</v>
      </c>
      <c r="N13" s="279">
        <f>M13*97%</f>
        <v>38361.752166876024</v>
      </c>
      <c r="O13" s="279">
        <f t="shared" ref="O13:U13" si="17">N13*97%</f>
        <v>37210.899601869743</v>
      </c>
      <c r="P13" s="279">
        <f t="shared" si="17"/>
        <v>36094.572613813652</v>
      </c>
      <c r="Q13" s="279">
        <f t="shared" si="17"/>
        <v>35011.735435399241</v>
      </c>
      <c r="R13" s="279">
        <f t="shared" si="17"/>
        <v>33961.383372337266</v>
      </c>
      <c r="S13" s="279">
        <f t="shared" si="17"/>
        <v>32942.541871167145</v>
      </c>
      <c r="T13" s="279">
        <f t="shared" si="17"/>
        <v>31954.265615032131</v>
      </c>
      <c r="U13" s="279">
        <f t="shared" si="17"/>
        <v>30995.637646581166</v>
      </c>
      <c r="V13" s="96"/>
      <c r="W13" s="314" t="s">
        <v>565</v>
      </c>
      <c r="X13" s="328">
        <f>D20</f>
        <v>608.20993133244463</v>
      </c>
      <c r="Y13" s="328">
        <f>D41</f>
        <v>13.444714334750103</v>
      </c>
      <c r="Z13" s="328">
        <f>D62</f>
        <v>204.35575046491667</v>
      </c>
      <c r="AA13" s="328">
        <f>D83</f>
        <v>221.49354133382747</v>
      </c>
      <c r="AB13" s="328">
        <f>D125</f>
        <v>48.508378296309893</v>
      </c>
      <c r="AC13" s="328">
        <f>D146</f>
        <v>184.89363150840452</v>
      </c>
      <c r="AD13" s="328">
        <f>D167</f>
        <v>9.4241436491694124</v>
      </c>
      <c r="AE13" s="328">
        <f>D188</f>
        <v>0</v>
      </c>
      <c r="AF13" s="328">
        <f>D209</f>
        <v>6.0595290602546772</v>
      </c>
      <c r="AG13" s="328">
        <f>D230</f>
        <v>11.389680528364133</v>
      </c>
      <c r="AH13" s="328">
        <f>D251</f>
        <v>33.88213692940878</v>
      </c>
      <c r="AI13" s="328">
        <f>D272</f>
        <v>7.0369208085605788</v>
      </c>
      <c r="AJ13" s="329">
        <f>SUM(X13:AI13)</f>
        <v>1348.6983582464106</v>
      </c>
    </row>
    <row r="14" spans="1:36" x14ac:dyDescent="0.35">
      <c r="A14" s="277" t="s">
        <v>184</v>
      </c>
      <c r="B14" s="278" t="s">
        <v>148</v>
      </c>
      <c r="C14" s="279">
        <f t="shared" ref="C14:C15" si="18">G14/365</f>
        <v>45.819232876712327</v>
      </c>
      <c r="D14" s="279">
        <f t="shared" ref="D14:D15" si="19">U14/365</f>
        <v>45.959360730593623</v>
      </c>
      <c r="E14" s="279">
        <f>SUMIF($A:$A,$A$33,E:E)-E54-E117-E201-E222</f>
        <v>13509.42</v>
      </c>
      <c r="F14" s="279">
        <f>SUMIF($A:$A,$A$33,F:F)-F54-F117-F201-F222</f>
        <v>17100.2</v>
      </c>
      <c r="G14" s="279">
        <f>SUMIF($A:$A,$A$33,G:G)-G54-G117-G201-G222</f>
        <v>16724.02</v>
      </c>
      <c r="H14" s="279"/>
      <c r="I14" s="279">
        <f>SUMIF($A:$A,$A$33,I:I)-I222</f>
        <v>16775.166666666672</v>
      </c>
      <c r="J14" s="279">
        <f t="shared" ref="J14:U14" si="20">SUMIF($A:$A,$A$33,J:J)-J222</f>
        <v>16775.166666666672</v>
      </c>
      <c r="K14" s="279">
        <f t="shared" si="20"/>
        <v>16775.166666666672</v>
      </c>
      <c r="L14" s="279">
        <f t="shared" si="20"/>
        <v>16775.166666666672</v>
      </c>
      <c r="M14" s="279">
        <f t="shared" si="20"/>
        <v>16775.166666666672</v>
      </c>
      <c r="N14" s="279">
        <f t="shared" si="20"/>
        <v>16775.166666666672</v>
      </c>
      <c r="O14" s="279">
        <f t="shared" si="20"/>
        <v>16775.166666666672</v>
      </c>
      <c r="P14" s="279">
        <f t="shared" si="20"/>
        <v>16775.166666666672</v>
      </c>
      <c r="Q14" s="279">
        <f t="shared" si="20"/>
        <v>16775.166666666672</v>
      </c>
      <c r="R14" s="279">
        <f t="shared" si="20"/>
        <v>16775.166666666672</v>
      </c>
      <c r="S14" s="279">
        <f t="shared" si="20"/>
        <v>16775.166666666672</v>
      </c>
      <c r="T14" s="279">
        <f t="shared" si="20"/>
        <v>16775.166666666672</v>
      </c>
      <c r="U14" s="279">
        <f t="shared" si="20"/>
        <v>16775.166666666672</v>
      </c>
      <c r="W14" s="317" t="s">
        <v>566</v>
      </c>
      <c r="X14" s="328">
        <f>D21</f>
        <v>537.10304547856322</v>
      </c>
      <c r="Y14" s="328">
        <f>D42</f>
        <v>13.444714334750103</v>
      </c>
      <c r="Z14" s="328">
        <f>D63</f>
        <v>204.03465457450574</v>
      </c>
      <c r="AA14" s="328">
        <f>D84</f>
        <v>197.49628105985485</v>
      </c>
      <c r="AB14" s="328">
        <f>D126</f>
        <v>40.778213912748249</v>
      </c>
      <c r="AC14" s="328">
        <f>D147</f>
        <v>64.695247946760716</v>
      </c>
      <c r="AD14" s="328">
        <f>D168</f>
        <v>9.0053673934616487</v>
      </c>
      <c r="AE14" s="328">
        <f>D189</f>
        <v>0</v>
      </c>
      <c r="AF14" s="328">
        <f>D210</f>
        <v>6.0595290602546772</v>
      </c>
      <c r="AG14" s="328">
        <f>D231</f>
        <v>8.7646759621540866</v>
      </c>
      <c r="AH14" s="328">
        <f>D252</f>
        <v>32.678383504751245</v>
      </c>
      <c r="AI14" s="328">
        <f>D273</f>
        <v>6.7358157857295291</v>
      </c>
      <c r="AJ14" s="329">
        <f>SUM(X14:AI14)</f>
        <v>1120.7959290135341</v>
      </c>
    </row>
    <row r="15" spans="1:36" x14ac:dyDescent="0.35">
      <c r="A15" s="277" t="s">
        <v>561</v>
      </c>
      <c r="B15" s="278" t="s">
        <v>148</v>
      </c>
      <c r="C15" s="279">
        <f t="shared" si="18"/>
        <v>368.26919449315028</v>
      </c>
      <c r="D15" s="279">
        <f t="shared" si="19"/>
        <v>733.71989737366619</v>
      </c>
      <c r="E15" s="279">
        <f t="shared" ref="E15:F15" si="21">E9-E10-E13-E14</f>
        <v>158760.72112000021</v>
      </c>
      <c r="F15" s="279">
        <f t="shared" si="21"/>
        <v>121329.16172999983</v>
      </c>
      <c r="G15" s="279">
        <f>G9-G10-G13-G14</f>
        <v>134418.25598999986</v>
      </c>
      <c r="H15" s="279"/>
      <c r="I15" s="279">
        <f>SUMIF($A:$A,$A$34,I:I)-I223</f>
        <v>185033.56566750386</v>
      </c>
      <c r="J15" s="279">
        <f t="shared" ref="J15:U15" si="22">SUMIF($A:$A,$A$34,J:J)-J223</f>
        <v>198294.14426973066</v>
      </c>
      <c r="K15" s="279">
        <f t="shared" si="22"/>
        <v>214293.03234974691</v>
      </c>
      <c r="L15" s="279">
        <f t="shared" si="22"/>
        <v>230600.69675191815</v>
      </c>
      <c r="M15" s="279">
        <f t="shared" si="22"/>
        <v>239492.23057186676</v>
      </c>
      <c r="N15" s="279">
        <f t="shared" si="22"/>
        <v>242914.6629705911</v>
      </c>
      <c r="O15" s="279">
        <f t="shared" si="22"/>
        <v>246360.91388670754</v>
      </c>
      <c r="P15" s="279">
        <f t="shared" si="22"/>
        <v>249839.2625432132</v>
      </c>
      <c r="Q15" s="279">
        <f t="shared" si="22"/>
        <v>253351.48514782914</v>
      </c>
      <c r="R15" s="279">
        <f t="shared" si="22"/>
        <v>256900.73624826275</v>
      </c>
      <c r="S15" s="279">
        <f t="shared" si="22"/>
        <v>260488.9715477486</v>
      </c>
      <c r="T15" s="279">
        <f t="shared" si="22"/>
        <v>264123.18670200364</v>
      </c>
      <c r="U15" s="279">
        <f t="shared" si="22"/>
        <v>267807.76254138816</v>
      </c>
      <c r="W15" s="317" t="s">
        <v>567</v>
      </c>
      <c r="X15" s="328">
        <f>D22</f>
        <v>71.106885853881295</v>
      </c>
      <c r="Y15" s="328">
        <f>D43</f>
        <v>0</v>
      </c>
      <c r="Z15" s="328">
        <f>D64</f>
        <v>0.32109589041095893</v>
      </c>
      <c r="AA15" s="328">
        <f>D85</f>
        <v>23.997260273972607</v>
      </c>
      <c r="AB15" s="328">
        <f>D127</f>
        <v>7.730164383561644</v>
      </c>
      <c r="AC15" s="328">
        <f>D148</f>
        <v>120.19838356164381</v>
      </c>
      <c r="AD15" s="328">
        <f>D169</f>
        <v>0.41877625570776256</v>
      </c>
      <c r="AE15" s="328">
        <f>D190</f>
        <v>0</v>
      </c>
      <c r="AF15" s="328">
        <f>D211</f>
        <v>0</v>
      </c>
      <c r="AG15" s="328">
        <f>D232</f>
        <v>2.6250045662100456</v>
      </c>
      <c r="AH15" s="328">
        <f>D253</f>
        <v>1.2037534246575343</v>
      </c>
      <c r="AI15" s="328">
        <f>D274</f>
        <v>0.30110502283105028</v>
      </c>
      <c r="AJ15" s="329">
        <f>SUM(X15:AI15)</f>
        <v>227.9024292328767</v>
      </c>
    </row>
    <row r="16" spans="1:36" x14ac:dyDescent="0.35">
      <c r="A16" s="277" t="s">
        <v>561</v>
      </c>
      <c r="B16" s="278" t="s">
        <v>131</v>
      </c>
      <c r="C16" s="312">
        <f>C15/(C9-C13)</f>
        <v>0.19241337622641266</v>
      </c>
      <c r="D16" s="312">
        <f>D15/(D9-D13)</f>
        <v>0.25000210040485971</v>
      </c>
      <c r="E16" s="312">
        <f t="shared" ref="E16:I16" si="23">E15/(E9-E13)</f>
        <v>0.24414819543608299</v>
      </c>
      <c r="F16" s="312">
        <f t="shared" si="23"/>
        <v>0.18215441505353375</v>
      </c>
      <c r="G16" s="312">
        <f t="shared" si="23"/>
        <v>0.19241337622641266</v>
      </c>
      <c r="H16" s="279"/>
      <c r="I16" s="312">
        <f t="shared" si="23"/>
        <v>0.22262606535054238</v>
      </c>
      <c r="J16" s="312">
        <f t="shared" ref="J16" si="24">J15/(J9-J13)</f>
        <v>0.22604272120252866</v>
      </c>
      <c r="K16" s="312">
        <f t="shared" ref="K16" si="25">K15/(K9-K13)</f>
        <v>0.22939180699038067</v>
      </c>
      <c r="L16" s="312">
        <f t="shared" ref="L16" si="26">L15/(L9-L13)</f>
        <v>0.23240548116588225</v>
      </c>
      <c r="M16" s="312">
        <f t="shared" ref="M16" si="27">M15/(M9-M13)</f>
        <v>0.23467954063610294</v>
      </c>
      <c r="N16" s="312">
        <f t="shared" ref="N16" si="28">N15/(N9-N13)</f>
        <v>0.23657721748131405</v>
      </c>
      <c r="O16" s="312">
        <f t="shared" ref="O16" si="29">O15/(O9-O13)</f>
        <v>0.23847974721753173</v>
      </c>
      <c r="P16" s="312">
        <f t="shared" ref="P16" si="30">P15/(P9-P13)</f>
        <v>0.24038725687594831</v>
      </c>
      <c r="Q16" s="312">
        <f t="shared" ref="Q16" si="31">Q15/(Q9-Q13)</f>
        <v>0.24229982466484906</v>
      </c>
      <c r="R16" s="312">
        <f t="shared" ref="R16" si="32">R15/(R9-R13)</f>
        <v>0.24421752790821052</v>
      </c>
      <c r="S16" s="312">
        <f t="shared" ref="S16" si="33">S15/(S9-S13)</f>
        <v>0.24614043360257437</v>
      </c>
      <c r="T16" s="312">
        <f t="shared" ref="T16" si="34">T15/(T9-T13)</f>
        <v>0.24806860864849556</v>
      </c>
      <c r="U16" s="312">
        <f t="shared" ref="U16" si="35">U15/(U9-U13)</f>
        <v>0.25000210040485971</v>
      </c>
      <c r="W16" s="314" t="s">
        <v>568</v>
      </c>
      <c r="X16" s="328">
        <f>D24</f>
        <v>71.569404851245764</v>
      </c>
      <c r="Y16" s="328">
        <f>D45</f>
        <v>1.4938571483055667</v>
      </c>
      <c r="Z16" s="328">
        <f>D66</f>
        <v>23.287726713250525</v>
      </c>
      <c r="AA16" s="328">
        <f>D87</f>
        <v>25.510626865605406</v>
      </c>
      <c r="AB16" s="328">
        <f>D129</f>
        <v>5.7750049958862837</v>
      </c>
      <c r="AC16" s="328">
        <f>D150</f>
        <v>21.939707407580212</v>
      </c>
      <c r="AD16" s="328">
        <f>D171</f>
        <v>1.132210785980772</v>
      </c>
      <c r="AE16" s="328">
        <f>D192</f>
        <v>0</v>
      </c>
      <c r="AF16" s="328">
        <f>D213</f>
        <v>0.67328100669496416</v>
      </c>
      <c r="AG16" s="328">
        <f>D234</f>
        <v>1.2811466441967252</v>
      </c>
      <c r="AH16" s="328">
        <f>D255</f>
        <v>3.882693042892198</v>
      </c>
      <c r="AI16" s="328">
        <f>D276</f>
        <v>0.80207288537532573</v>
      </c>
      <c r="AJ16" s="329">
        <f>SUM(X16:AI16)</f>
        <v>157.3477323470137</v>
      </c>
    </row>
    <row r="17" spans="1:37" x14ac:dyDescent="0.35">
      <c r="A17" s="36" t="s">
        <v>432</v>
      </c>
      <c r="B17" s="36"/>
      <c r="C17" s="36"/>
      <c r="D17" s="36"/>
      <c r="E17" s="41" t="s">
        <v>268</v>
      </c>
      <c r="F17" s="41"/>
      <c r="G17" s="41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W17" s="314" t="s">
        <v>569</v>
      </c>
      <c r="X17" s="353">
        <f>D25</f>
        <v>0.10000000000000003</v>
      </c>
      <c r="Y17" s="353">
        <f>D46</f>
        <v>0.1</v>
      </c>
      <c r="Z17" s="353">
        <f>D67</f>
        <v>0.10000000000000006</v>
      </c>
      <c r="AA17" s="353">
        <f>D88</f>
        <v>0.10000000000000006</v>
      </c>
      <c r="AB17" s="353">
        <f>D130</f>
        <v>0.1</v>
      </c>
      <c r="AC17" s="353">
        <f>D151</f>
        <v>0.1</v>
      </c>
      <c r="AD17" s="365">
        <f>D172</f>
        <v>0.1</v>
      </c>
      <c r="AE17" s="365">
        <f>D193</f>
        <v>0</v>
      </c>
      <c r="AF17" s="365">
        <f>D214</f>
        <v>0.1</v>
      </c>
      <c r="AG17" s="365">
        <f>D235</f>
        <v>0.1</v>
      </c>
      <c r="AH17" s="365">
        <f>D256</f>
        <v>0.1</v>
      </c>
      <c r="AI17" s="353">
        <f>D277</f>
        <v>0.1</v>
      </c>
      <c r="AJ17" s="354">
        <f>AJ16/AJ12</f>
        <v>0.10000000000000002</v>
      </c>
    </row>
    <row r="18" spans="1:37" ht="15.65" customHeight="1" x14ac:dyDescent="0.35">
      <c r="A18" s="34" t="s">
        <v>21</v>
      </c>
      <c r="B18" s="32"/>
      <c r="C18" s="32"/>
      <c r="D18" s="3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W18" s="314" t="s">
        <v>570</v>
      </c>
      <c r="X18" s="358">
        <f>D26</f>
        <v>107.64940831369992</v>
      </c>
      <c r="Y18" s="358">
        <f>D47</f>
        <v>100</v>
      </c>
      <c r="Z18" s="358">
        <f>D68</f>
        <v>74.999999999999943</v>
      </c>
      <c r="AA18" s="358">
        <f>D89</f>
        <v>74.999999999999972</v>
      </c>
      <c r="AB18" s="358">
        <f>D131</f>
        <v>135.07443228214763</v>
      </c>
      <c r="AC18" s="358">
        <f>D152</f>
        <v>159.01338807591887</v>
      </c>
      <c r="AD18" s="358">
        <f>D173</f>
        <v>102.74615322171483</v>
      </c>
      <c r="AE18" s="358">
        <f>D194</f>
        <v>0</v>
      </c>
      <c r="AF18" s="358">
        <f>D215</f>
        <v>80</v>
      </c>
      <c r="AG18" s="358">
        <f>D236</f>
        <v>75</v>
      </c>
      <c r="AH18" s="358">
        <f>D257</f>
        <v>148.76942406627271</v>
      </c>
      <c r="AI18" s="328">
        <f>D278</f>
        <v>75</v>
      </c>
      <c r="AJ18" s="329">
        <f>AJ14*1000/AJ19</f>
        <v>95.175990455202054</v>
      </c>
    </row>
    <row r="19" spans="1:37" ht="16.5" x14ac:dyDescent="0.35">
      <c r="A19" s="30" t="s">
        <v>124</v>
      </c>
      <c r="B19" s="31" t="s">
        <v>125</v>
      </c>
      <c r="C19" s="53">
        <f t="shared" ref="C19:C24" si="36">G19/365</f>
        <v>632.58890228085602</v>
      </c>
      <c r="D19" s="72">
        <f t="shared" ref="D19:D24" si="37">U19/365</f>
        <v>715.69404851245747</v>
      </c>
      <c r="E19" s="46">
        <f>SUMIFS(SM!F:F,SM!$C:$C,"TOO",SM!$D:$D,$E17)</f>
        <v>228040</v>
      </c>
      <c r="F19" s="210">
        <f>AD75-F61-F82</f>
        <v>229662.2932115905</v>
      </c>
      <c r="G19" s="210">
        <f>AE75-G61-G82</f>
        <v>230894.94933251245</v>
      </c>
      <c r="H19" s="46">
        <f>SUMIFS(SM!$R:$R,SM!M:M,Q!E17)</f>
        <v>95226</v>
      </c>
      <c r="I19" s="76">
        <f t="shared" ref="I19:U19" si="38">(I20+I23)/(100%-I25)</f>
        <v>235346.49835882054</v>
      </c>
      <c r="J19" s="4">
        <f t="shared" si="38"/>
        <v>237567.6392041448</v>
      </c>
      <c r="K19" s="4">
        <f t="shared" si="38"/>
        <v>239768.69699849299</v>
      </c>
      <c r="L19" s="4">
        <f t="shared" si="38"/>
        <v>241943.78905254637</v>
      </c>
      <c r="M19" s="4">
        <f t="shared" si="38"/>
        <v>244094.56615574623</v>
      </c>
      <c r="N19" s="4">
        <f t="shared" si="38"/>
        <v>246230.65271092125</v>
      </c>
      <c r="O19" s="4">
        <f t="shared" si="38"/>
        <v>248352.54370309558</v>
      </c>
      <c r="P19" s="4">
        <f t="shared" si="38"/>
        <v>250474.50760313874</v>
      </c>
      <c r="Q19" s="4">
        <f t="shared" si="38"/>
        <v>252599.11481471363</v>
      </c>
      <c r="R19" s="4">
        <f t="shared" si="38"/>
        <v>254731.22535025675</v>
      </c>
      <c r="S19" s="4">
        <f t="shared" si="38"/>
        <v>256873.49995951063</v>
      </c>
      <c r="T19" s="4">
        <f t="shared" si="38"/>
        <v>259037.06883453127</v>
      </c>
      <c r="U19" s="4">
        <f t="shared" si="38"/>
        <v>261228.32770704699</v>
      </c>
      <c r="W19" s="314" t="s">
        <v>578</v>
      </c>
      <c r="X19" s="315">
        <f>D27</f>
        <v>4989.3729458632715</v>
      </c>
      <c r="Y19" s="315">
        <f>D48</f>
        <v>134.447143347501</v>
      </c>
      <c r="Z19" s="315">
        <f>D69</f>
        <v>2720.4620609934118</v>
      </c>
      <c r="AA19" s="315">
        <f>D90</f>
        <v>2633.2837474647322</v>
      </c>
      <c r="AB19" s="315">
        <f>D132</f>
        <v>301.89439425197406</v>
      </c>
      <c r="AC19" s="315">
        <f>D153</f>
        <v>406.85409404567127</v>
      </c>
      <c r="AD19" s="315">
        <f>D174</f>
        <v>87.646759621540895</v>
      </c>
      <c r="AE19" s="315">
        <f>D195</f>
        <v>0</v>
      </c>
      <c r="AF19" s="315">
        <f>D216</f>
        <v>75.744113253183471</v>
      </c>
      <c r="AG19" s="315">
        <f>D237</f>
        <v>116.86234616205448</v>
      </c>
      <c r="AH19" s="315">
        <f>D258</f>
        <v>219.65792843423202</v>
      </c>
      <c r="AI19" s="315">
        <f>D279</f>
        <v>89.810877143060381</v>
      </c>
      <c r="AJ19" s="316">
        <f>SUM(X19:AI19)</f>
        <v>11776.036410580631</v>
      </c>
    </row>
    <row r="20" spans="1:37" ht="18" x14ac:dyDescent="0.35">
      <c r="A20" s="30" t="s">
        <v>126</v>
      </c>
      <c r="B20" s="31" t="s">
        <v>125</v>
      </c>
      <c r="C20" s="53">
        <f t="shared" si="36"/>
        <v>560.79356167123376</v>
      </c>
      <c r="D20" s="53">
        <f t="shared" si="37"/>
        <v>608.20993133244463</v>
      </c>
      <c r="E20" s="46">
        <f>E21+E22</f>
        <v>203329.49888</v>
      </c>
      <c r="F20" s="64">
        <f>F21+F22</f>
        <v>203978.97005000056</v>
      </c>
      <c r="G20" s="64">
        <f>G21+G22</f>
        <v>204689.6500100003</v>
      </c>
      <c r="H20" s="46"/>
      <c r="I20" s="48">
        <f t="shared" ref="I20:U20" si="39">I21+I22</f>
        <v>207129.58226974835</v>
      </c>
      <c r="J20" s="12">
        <f t="shared" si="39"/>
        <v>208499.29286416442</v>
      </c>
      <c r="K20" s="12">
        <f t="shared" si="39"/>
        <v>209837.07478989116</v>
      </c>
      <c r="L20" s="12">
        <f t="shared" si="39"/>
        <v>211137.65542274134</v>
      </c>
      <c r="M20" s="12">
        <f t="shared" si="39"/>
        <v>212402.79230411066</v>
      </c>
      <c r="N20" s="12">
        <f t="shared" si="39"/>
        <v>213641.56606454385</v>
      </c>
      <c r="O20" s="12">
        <f t="shared" si="39"/>
        <v>214854.56255117277</v>
      </c>
      <c r="P20" s="12">
        <f t="shared" si="39"/>
        <v>216054.96332446559</v>
      </c>
      <c r="Q20" s="12">
        <f t="shared" si="39"/>
        <v>217245.11177294981</v>
      </c>
      <c r="R20" s="12">
        <f t="shared" si="39"/>
        <v>218429.40175011495</v>
      </c>
      <c r="S20" s="12">
        <f t="shared" si="39"/>
        <v>219610.17664448856</v>
      </c>
      <c r="T20" s="12">
        <f t="shared" si="39"/>
        <v>220797.39585731333</v>
      </c>
      <c r="U20" s="12">
        <f t="shared" si="39"/>
        <v>221996.62493634227</v>
      </c>
      <c r="W20" s="1001" t="s">
        <v>839</v>
      </c>
      <c r="X20" s="1002"/>
      <c r="Y20" s="1002"/>
      <c r="Z20" s="1002"/>
      <c r="AA20" s="1002"/>
      <c r="AB20" s="1002"/>
      <c r="AC20" s="1002"/>
      <c r="AD20" s="1002"/>
      <c r="AE20" s="1002"/>
      <c r="AF20" s="1002"/>
      <c r="AG20" s="1002"/>
      <c r="AH20" s="1002"/>
      <c r="AI20" s="1002"/>
      <c r="AJ20" s="1003"/>
      <c r="AK20" s="96" t="s">
        <v>840</v>
      </c>
    </row>
    <row r="21" spans="1:37" ht="16.5" x14ac:dyDescent="0.35">
      <c r="A21" s="30" t="s">
        <v>127</v>
      </c>
      <c r="B21" s="31" t="s">
        <v>125</v>
      </c>
      <c r="C21" s="53">
        <f t="shared" si="36"/>
        <v>484.44632879452132</v>
      </c>
      <c r="D21" s="53">
        <f t="shared" si="37"/>
        <v>537.10304547856322</v>
      </c>
      <c r="E21" s="46">
        <f>ABS(SUMIFS(SM!F:F,SM!$C:$C,"ERA",SM!$D:$D,$E17))</f>
        <v>176931.84891</v>
      </c>
      <c r="F21" s="46">
        <f>ABS(SUMIFS(SM!G:G,SM!$C:$C,"ERA",SM!$D:$D,$E17))</f>
        <v>180381.32001000055</v>
      </c>
      <c r="G21" s="46">
        <f>ABS(SUMIFS(SM!H:H,SM!$C:$C,"ERA",SM!$D:$D,$E17))</f>
        <v>176822.91001000028</v>
      </c>
      <c r="H21" s="64"/>
      <c r="I21" s="47">
        <f t="shared" ref="I21:U21" si="40">I26*I27/1000*365</f>
        <v>181175.56893308167</v>
      </c>
      <c r="J21" s="4">
        <f t="shared" si="40"/>
        <v>182545.27952749774</v>
      </c>
      <c r="K21" s="4">
        <f t="shared" si="40"/>
        <v>183883.06145322448</v>
      </c>
      <c r="L21" s="4">
        <f t="shared" si="40"/>
        <v>185183.64208607466</v>
      </c>
      <c r="M21" s="4">
        <f t="shared" si="40"/>
        <v>186448.77896744397</v>
      </c>
      <c r="N21" s="4">
        <f t="shared" si="40"/>
        <v>187687.55272787716</v>
      </c>
      <c r="O21" s="4">
        <f t="shared" si="40"/>
        <v>188900.54921450609</v>
      </c>
      <c r="P21" s="4">
        <f t="shared" si="40"/>
        <v>190100.9499877989</v>
      </c>
      <c r="Q21" s="4">
        <f t="shared" si="40"/>
        <v>191291.09843628312</v>
      </c>
      <c r="R21" s="4">
        <f t="shared" si="40"/>
        <v>192475.38841344827</v>
      </c>
      <c r="S21" s="4">
        <f t="shared" si="40"/>
        <v>193656.16330782187</v>
      </c>
      <c r="T21" s="4">
        <f t="shared" si="40"/>
        <v>194843.38252064664</v>
      </c>
      <c r="U21" s="4">
        <f t="shared" si="40"/>
        <v>196042.61159967558</v>
      </c>
      <c r="W21" s="314" t="s">
        <v>564</v>
      </c>
      <c r="X21" s="328">
        <f>X12</f>
        <v>715.69404851245747</v>
      </c>
      <c r="Y21" s="328">
        <f t="shared" ref="Y21:AI21" si="41">Y12</f>
        <v>14.938571483055668</v>
      </c>
      <c r="Z21" s="328">
        <f t="shared" si="41"/>
        <v>232.8772671325051</v>
      </c>
      <c r="AA21" s="328">
        <f t="shared" si="41"/>
        <v>255.10626865605389</v>
      </c>
      <c r="AB21" s="328">
        <f t="shared" si="41"/>
        <v>57.750049958862832</v>
      </c>
      <c r="AC21" s="546">
        <f>1/(1-AC26)*AC22</f>
        <v>303.99292389822728</v>
      </c>
      <c r="AD21" s="546">
        <f>318.2+41.7</f>
        <v>359.9</v>
      </c>
      <c r="AE21" s="546">
        <v>146.30000000000001</v>
      </c>
      <c r="AF21" s="546">
        <v>135.9</v>
      </c>
      <c r="AG21" s="328">
        <f t="shared" si="41"/>
        <v>12.811466441967251</v>
      </c>
      <c r="AH21" s="328">
        <f t="shared" si="41"/>
        <v>38.826930428921983</v>
      </c>
      <c r="AI21" s="328">
        <f t="shared" si="41"/>
        <v>8.0207288537532566</v>
      </c>
      <c r="AJ21" s="329">
        <f>SUM(X21:AI21)</f>
        <v>2282.1182553658045</v>
      </c>
    </row>
    <row r="22" spans="1:37" ht="16.5" x14ac:dyDescent="0.35">
      <c r="A22" s="30" t="s">
        <v>497</v>
      </c>
      <c r="B22" s="31" t="s">
        <v>125</v>
      </c>
      <c r="C22" s="53">
        <f t="shared" si="36"/>
        <v>76.347232876712368</v>
      </c>
      <c r="D22" s="53">
        <f t="shared" si="37"/>
        <v>71.106885853881295</v>
      </c>
      <c r="E22" s="46">
        <f>ABS(SUMIFS(SM!F:F,SM!$C:$C,"JUR",SM!$D:$D,$E17))</f>
        <v>26397.649970000006</v>
      </c>
      <c r="F22" s="46">
        <f>ABS(SUMIFS(SM!G:G,SM!$C:$C,"JUR",SM!$D:$D,$E17))</f>
        <v>23597.650040000004</v>
      </c>
      <c r="G22" s="46">
        <f>ABS(SUMIFS(SM!H:H,SM!$C:$C,"JUR",SM!$D:$D,$E17))</f>
        <v>27866.740000000013</v>
      </c>
      <c r="H22" s="64"/>
      <c r="I22" s="47">
        <f>AVERAGE(E22:G22)</f>
        <v>25954.013336666674</v>
      </c>
      <c r="J22" s="4">
        <f t="shared" ref="J22:U22" si="42">I22</f>
        <v>25954.013336666674</v>
      </c>
      <c r="K22" s="4">
        <f t="shared" si="42"/>
        <v>25954.013336666674</v>
      </c>
      <c r="L22" s="4">
        <f t="shared" si="42"/>
        <v>25954.013336666674</v>
      </c>
      <c r="M22" s="4">
        <f t="shared" si="42"/>
        <v>25954.013336666674</v>
      </c>
      <c r="N22" s="4">
        <f t="shared" si="42"/>
        <v>25954.013336666674</v>
      </c>
      <c r="O22" s="4">
        <f t="shared" si="42"/>
        <v>25954.013336666674</v>
      </c>
      <c r="P22" s="4">
        <f t="shared" si="42"/>
        <v>25954.013336666674</v>
      </c>
      <c r="Q22" s="4">
        <f t="shared" si="42"/>
        <v>25954.013336666674</v>
      </c>
      <c r="R22" s="4">
        <f t="shared" si="42"/>
        <v>25954.013336666674</v>
      </c>
      <c r="S22" s="4">
        <f t="shared" si="42"/>
        <v>25954.013336666674</v>
      </c>
      <c r="T22" s="4">
        <f t="shared" si="42"/>
        <v>25954.013336666674</v>
      </c>
      <c r="U22" s="4">
        <f t="shared" si="42"/>
        <v>25954.013336666674</v>
      </c>
      <c r="W22" s="314" t="s">
        <v>565</v>
      </c>
      <c r="X22" s="328">
        <f t="shared" ref="X22:AI28" si="43">X13</f>
        <v>608.20993133244463</v>
      </c>
      <c r="Y22" s="328">
        <f t="shared" si="43"/>
        <v>13.444714334750103</v>
      </c>
      <c r="Z22" s="328">
        <f t="shared" si="43"/>
        <v>204.35575046491667</v>
      </c>
      <c r="AA22" s="328">
        <f t="shared" si="43"/>
        <v>221.49354133382747</v>
      </c>
      <c r="AB22" s="328">
        <f t="shared" si="43"/>
        <v>48.508378296309893</v>
      </c>
      <c r="AC22" s="546">
        <f>AC23+AC24</f>
        <v>273.59363150840454</v>
      </c>
      <c r="AD22" s="546">
        <f>AD23+AD24</f>
        <v>323.8</v>
      </c>
      <c r="AE22" s="546">
        <f>AE23+AE24</f>
        <v>0</v>
      </c>
      <c r="AF22" s="546">
        <f>AF23+AF24</f>
        <v>6.0595290602546772</v>
      </c>
      <c r="AG22" s="328">
        <f t="shared" si="43"/>
        <v>11.389680528364133</v>
      </c>
      <c r="AH22" s="328">
        <f t="shared" si="43"/>
        <v>33.88213692940878</v>
      </c>
      <c r="AI22" s="328">
        <f t="shared" si="43"/>
        <v>7.0369208085605788</v>
      </c>
      <c r="AJ22" s="329">
        <f>SUM(X22:AI22)</f>
        <v>1751.7742145972413</v>
      </c>
    </row>
    <row r="23" spans="1:37" ht="16.5" x14ac:dyDescent="0.35">
      <c r="A23" s="255" t="s">
        <v>524</v>
      </c>
      <c r="B23" s="256" t="s">
        <v>520</v>
      </c>
      <c r="C23" s="257">
        <f t="shared" si="36"/>
        <v>31.186356164383565</v>
      </c>
      <c r="D23" s="257">
        <f t="shared" si="37"/>
        <v>35.914712328767123</v>
      </c>
      <c r="E23" s="258">
        <f>ABS(SUMIFS(SM!F:F,SM!$C:$C,"OMA",SM!$D:$D,$E17))</f>
        <v>14581.82</v>
      </c>
      <c r="F23" s="258">
        <f>ABS(SUMIFS(SM!G:G,SM!$C:$C,"OMA",SM!$D:$D,$E17))</f>
        <v>13361.77</v>
      </c>
      <c r="G23" s="258">
        <f>ABS(SUMIFS(SM!H:H,SM!$C:$C,"OMA",SM!$D:$D,$E17))</f>
        <v>11383.02</v>
      </c>
      <c r="H23" s="258"/>
      <c r="I23" s="275">
        <f>AVERAGE(E23:G23)</f>
        <v>13108.87</v>
      </c>
      <c r="J23" s="259">
        <f t="shared" ref="J23:U23" si="44">I23</f>
        <v>13108.87</v>
      </c>
      <c r="K23" s="259">
        <f t="shared" si="44"/>
        <v>13108.87</v>
      </c>
      <c r="L23" s="259">
        <f t="shared" si="44"/>
        <v>13108.87</v>
      </c>
      <c r="M23" s="259">
        <f t="shared" si="44"/>
        <v>13108.87</v>
      </c>
      <c r="N23" s="259">
        <f t="shared" si="44"/>
        <v>13108.87</v>
      </c>
      <c r="O23" s="259">
        <f t="shared" si="44"/>
        <v>13108.87</v>
      </c>
      <c r="P23" s="259">
        <f t="shared" si="44"/>
        <v>13108.87</v>
      </c>
      <c r="Q23" s="259">
        <f t="shared" si="44"/>
        <v>13108.87</v>
      </c>
      <c r="R23" s="259">
        <f t="shared" si="44"/>
        <v>13108.87</v>
      </c>
      <c r="S23" s="259">
        <f t="shared" si="44"/>
        <v>13108.87</v>
      </c>
      <c r="T23" s="259">
        <f t="shared" si="44"/>
        <v>13108.87</v>
      </c>
      <c r="U23" s="259">
        <f t="shared" si="44"/>
        <v>13108.87</v>
      </c>
      <c r="W23" s="317" t="s">
        <v>566</v>
      </c>
      <c r="X23" s="328">
        <f t="shared" si="43"/>
        <v>537.10304547856322</v>
      </c>
      <c r="Y23" s="328">
        <f t="shared" si="43"/>
        <v>13.444714334750103</v>
      </c>
      <c r="Z23" s="328">
        <f t="shared" si="43"/>
        <v>204.03465457450574</v>
      </c>
      <c r="AA23" s="328">
        <f t="shared" si="43"/>
        <v>197.49628105985485</v>
      </c>
      <c r="AB23" s="328">
        <f t="shared" si="43"/>
        <v>40.778213912748249</v>
      </c>
      <c r="AC23" s="546">
        <f>AC14+11.3</f>
        <v>75.995247946760713</v>
      </c>
      <c r="AD23" s="546">
        <v>117.5</v>
      </c>
      <c r="AE23" s="328">
        <f t="shared" si="43"/>
        <v>0</v>
      </c>
      <c r="AF23" s="328">
        <f t="shared" si="43"/>
        <v>6.0595290602546772</v>
      </c>
      <c r="AG23" s="328">
        <f t="shared" si="43"/>
        <v>8.7646759621540866</v>
      </c>
      <c r="AH23" s="328">
        <f t="shared" si="43"/>
        <v>32.678383504751245</v>
      </c>
      <c r="AI23" s="328">
        <f t="shared" si="43"/>
        <v>6.7358157857295291</v>
      </c>
      <c r="AJ23" s="329">
        <f>SUM(X23:AI23)</f>
        <v>1240.5905616200723</v>
      </c>
    </row>
    <row r="24" spans="1:37" ht="16.5" x14ac:dyDescent="0.35">
      <c r="A24" s="30" t="s">
        <v>130</v>
      </c>
      <c r="B24" s="31" t="s">
        <v>125</v>
      </c>
      <c r="C24" s="72">
        <f t="shared" si="36"/>
        <v>40.608984445238754</v>
      </c>
      <c r="D24" s="53">
        <f t="shared" si="37"/>
        <v>71.569404851245764</v>
      </c>
      <c r="E24" s="64">
        <f>E19-E20-E23</f>
        <v>10128.681120000001</v>
      </c>
      <c r="F24" s="64">
        <f>F19-F20-F23</f>
        <v>12321.553161589942</v>
      </c>
      <c r="G24" s="64">
        <f>G19-G20-G23</f>
        <v>14822.279322512146</v>
      </c>
      <c r="H24" s="64"/>
      <c r="I24" s="47">
        <f t="shared" ref="I24:U24" si="45">I25*I19</f>
        <v>15108.046089072181</v>
      </c>
      <c r="J24" s="4">
        <f t="shared" si="45"/>
        <v>15959.476339980372</v>
      </c>
      <c r="K24" s="4">
        <f t="shared" si="45"/>
        <v>16822.752208601818</v>
      </c>
      <c r="L24" s="4">
        <f t="shared" si="45"/>
        <v>17697.263629805013</v>
      </c>
      <c r="M24" s="4">
        <f t="shared" si="45"/>
        <v>18582.903851635583</v>
      </c>
      <c r="N24" s="4">
        <f t="shared" si="45"/>
        <v>19480.216646377408</v>
      </c>
      <c r="O24" s="4">
        <f t="shared" si="45"/>
        <v>20389.111151922829</v>
      </c>
      <c r="P24" s="4">
        <f t="shared" si="45"/>
        <v>21310.674278673163</v>
      </c>
      <c r="Q24" s="4">
        <f t="shared" si="45"/>
        <v>22245.133041763816</v>
      </c>
      <c r="R24" s="4">
        <f t="shared" si="45"/>
        <v>23192.953600141787</v>
      </c>
      <c r="S24" s="4">
        <f t="shared" si="45"/>
        <v>24154.453315022078</v>
      </c>
      <c r="T24" s="4">
        <f t="shared" si="45"/>
        <v>25130.802977217932</v>
      </c>
      <c r="U24" s="4">
        <f t="shared" si="45"/>
        <v>26122.832770704706</v>
      </c>
      <c r="W24" s="317" t="s">
        <v>567</v>
      </c>
      <c r="X24" s="328">
        <f t="shared" si="43"/>
        <v>71.106885853881295</v>
      </c>
      <c r="Y24" s="328">
        <f t="shared" si="43"/>
        <v>0</v>
      </c>
      <c r="Z24" s="328">
        <f t="shared" si="43"/>
        <v>0.32109589041095893</v>
      </c>
      <c r="AA24" s="328">
        <f t="shared" si="43"/>
        <v>23.997260273972607</v>
      </c>
      <c r="AB24" s="328">
        <f t="shared" si="43"/>
        <v>7.730164383561644</v>
      </c>
      <c r="AC24" s="546">
        <f>AC15+77.4</f>
        <v>197.5983835616438</v>
      </c>
      <c r="AD24" s="546">
        <f>168.8+37.5</f>
        <v>206.3</v>
      </c>
      <c r="AE24" s="328">
        <f t="shared" si="43"/>
        <v>0</v>
      </c>
      <c r="AF24" s="328">
        <f t="shared" si="43"/>
        <v>0</v>
      </c>
      <c r="AG24" s="328">
        <f t="shared" si="43"/>
        <v>2.6250045662100456</v>
      </c>
      <c r="AH24" s="328">
        <f t="shared" si="43"/>
        <v>1.2037534246575343</v>
      </c>
      <c r="AI24" s="328">
        <f t="shared" si="43"/>
        <v>0.30110502283105028</v>
      </c>
      <c r="AJ24" s="329">
        <f>SUM(X24:AI24)</f>
        <v>511.18365297716895</v>
      </c>
    </row>
    <row r="25" spans="1:37" x14ac:dyDescent="0.35">
      <c r="A25" s="30" t="s">
        <v>130</v>
      </c>
      <c r="B25" s="31" t="s">
        <v>131</v>
      </c>
      <c r="C25" s="74">
        <f>G25</f>
        <v>6.4194904935605757E-2</v>
      </c>
      <c r="D25" s="54">
        <f>U25</f>
        <v>0.10000000000000003</v>
      </c>
      <c r="E25" s="49">
        <f>IFERROR(E24/E19,"")</f>
        <v>4.441624767584635E-2</v>
      </c>
      <c r="F25" s="212">
        <f>IFERROR(F24/F19,"")</f>
        <v>5.3650745140988179E-2</v>
      </c>
      <c r="G25" s="212">
        <f>IFERROR(G24/G19,"")</f>
        <v>6.4194904935605757E-2</v>
      </c>
      <c r="H25" s="49"/>
      <c r="I25" s="75">
        <f>G25</f>
        <v>6.4194904935605757E-2</v>
      </c>
      <c r="J25" s="363">
        <f>I25+(10%-$I25)/12</f>
        <v>6.7178662857638613E-2</v>
      </c>
      <c r="K25" s="363">
        <f t="shared" ref="K25:U25" si="46">J25+(10%-$I25)/12</f>
        <v>7.0162420779671469E-2</v>
      </c>
      <c r="L25" s="363">
        <f t="shared" si="46"/>
        <v>7.3146178701704326E-2</v>
      </c>
      <c r="M25" s="363">
        <f t="shared" si="46"/>
        <v>7.6129936623737182E-2</v>
      </c>
      <c r="N25" s="363">
        <f t="shared" si="46"/>
        <v>7.9113694545770039E-2</v>
      </c>
      <c r="O25" s="363">
        <f t="shared" si="46"/>
        <v>8.2097452467802895E-2</v>
      </c>
      <c r="P25" s="363">
        <f t="shared" si="46"/>
        <v>8.5081210389835751E-2</v>
      </c>
      <c r="Q25" s="363">
        <f t="shared" si="46"/>
        <v>8.8064968311868608E-2</v>
      </c>
      <c r="R25" s="363">
        <f t="shared" si="46"/>
        <v>9.1048726233901464E-2</v>
      </c>
      <c r="S25" s="363">
        <f t="shared" si="46"/>
        <v>9.4032484155934321E-2</v>
      </c>
      <c r="T25" s="363">
        <f t="shared" si="46"/>
        <v>9.7016242077967177E-2</v>
      </c>
      <c r="U25" s="363">
        <f t="shared" si="46"/>
        <v>0.10000000000000003</v>
      </c>
      <c r="W25" s="314" t="s">
        <v>568</v>
      </c>
      <c r="X25" s="328">
        <f t="shared" si="43"/>
        <v>71.569404851245764</v>
      </c>
      <c r="Y25" s="328">
        <f t="shared" si="43"/>
        <v>1.4938571483055667</v>
      </c>
      <c r="Z25" s="328">
        <f t="shared" si="43"/>
        <v>23.287726713250525</v>
      </c>
      <c r="AA25" s="328">
        <f t="shared" si="43"/>
        <v>25.510626865605406</v>
      </c>
      <c r="AB25" s="328">
        <f t="shared" si="43"/>
        <v>5.7750049958862837</v>
      </c>
      <c r="AC25" s="546">
        <f>AC21-AC22</f>
        <v>30.399292389822733</v>
      </c>
      <c r="AD25" s="546">
        <f>AD21-AD22</f>
        <v>36.099999999999966</v>
      </c>
      <c r="AE25" s="328">
        <f t="shared" si="43"/>
        <v>0</v>
      </c>
      <c r="AF25" s="328">
        <f t="shared" si="43"/>
        <v>0.67328100669496416</v>
      </c>
      <c r="AG25" s="328">
        <f t="shared" si="43"/>
        <v>1.2811466441967252</v>
      </c>
      <c r="AH25" s="328">
        <f t="shared" si="43"/>
        <v>3.882693042892198</v>
      </c>
      <c r="AI25" s="328">
        <f t="shared" si="43"/>
        <v>0.80207288537532573</v>
      </c>
      <c r="AJ25" s="329">
        <f>SUM(X25:AI25)</f>
        <v>200.77510654327546</v>
      </c>
    </row>
    <row r="26" spans="1:37" s="7" customFormat="1" ht="15.65" customHeight="1" x14ac:dyDescent="0.35">
      <c r="A26" s="30" t="s">
        <v>128</v>
      </c>
      <c r="B26" s="31" t="s">
        <v>129</v>
      </c>
      <c r="C26" s="53">
        <f>G26</f>
        <v>107.64940831369992</v>
      </c>
      <c r="D26" s="53">
        <f>U26</f>
        <v>107.64940831369992</v>
      </c>
      <c r="E26" s="46">
        <f>E21/E27/365*1000</f>
        <v>116.20598962456407</v>
      </c>
      <c r="F26" s="46">
        <f>F21/F27/365*1000</f>
        <v>114.34733270756637</v>
      </c>
      <c r="G26" s="46">
        <f>G21/G27/365*1000</f>
        <v>107.64940831369992</v>
      </c>
      <c r="H26" s="46"/>
      <c r="I26" s="76">
        <f>G26</f>
        <v>107.64940831369992</v>
      </c>
      <c r="J26" s="4">
        <f>IF(I26&gt;Veehind!$B$16,I26,I26+(Veehind!$B$16-$I26)/12)</f>
        <v>107.64940831369992</v>
      </c>
      <c r="K26" s="4">
        <f>IF(J26&gt;Veehind!$B$16,J26,J26+(Veehind!$B$16-$I26)/12)</f>
        <v>107.64940831369992</v>
      </c>
      <c r="L26" s="4">
        <f>IF(K26&gt;Veehind!$B$16,K26,K26+(Veehind!$B$16-$I26)/12)</f>
        <v>107.64940831369992</v>
      </c>
      <c r="M26" s="4">
        <f>IF(L26&gt;Veehind!$B$16,L26,L26+(Veehind!$B$16-$I26)/12)</f>
        <v>107.64940831369992</v>
      </c>
      <c r="N26" s="4">
        <f>IF(M26&gt;Veehind!$B$16,M26,M26+(Veehind!$B$16-$I26)/12)</f>
        <v>107.64940831369992</v>
      </c>
      <c r="O26" s="4">
        <f>IF(N26&gt;Veehind!$B$16,N26,N26+(Veehind!$B$16-$I26)/12)</f>
        <v>107.64940831369992</v>
      </c>
      <c r="P26" s="4">
        <f>IF(O26&gt;Veehind!$B$16,O26,O26+(Veehind!$B$16-$I26)/12)</f>
        <v>107.64940831369992</v>
      </c>
      <c r="Q26" s="4">
        <f>IF(P26&gt;Veehind!$B$16,P26,P26+(Veehind!$B$16-$I26)/12)</f>
        <v>107.64940831369992</v>
      </c>
      <c r="R26" s="4">
        <f>IF(Q26&gt;Veehind!$B$16,Q26,Q26+(Veehind!$B$16-$I26)/12)</f>
        <v>107.64940831369992</v>
      </c>
      <c r="S26" s="4">
        <f>IF(R26&gt;Veehind!$B$16,R26,R26+(Veehind!$B$16-$I26)/12)</f>
        <v>107.64940831369992</v>
      </c>
      <c r="T26" s="4">
        <f>IF(S26&gt;Veehind!$B$16,S26,S26+(Veehind!$B$16-$I26)/12)</f>
        <v>107.64940831369992</v>
      </c>
      <c r="U26" s="4">
        <f>IF(T26&gt;Veehind!$B$16,T26,T26+(Veehind!$B$16-$I26)/12)</f>
        <v>107.64940831369992</v>
      </c>
      <c r="W26" s="314" t="s">
        <v>569</v>
      </c>
      <c r="X26" s="548">
        <f t="shared" si="43"/>
        <v>0.10000000000000003</v>
      </c>
      <c r="Y26" s="548">
        <f t="shared" si="43"/>
        <v>0.1</v>
      </c>
      <c r="Z26" s="548">
        <f t="shared" si="43"/>
        <v>0.10000000000000006</v>
      </c>
      <c r="AA26" s="548">
        <f t="shared" si="43"/>
        <v>0.10000000000000006</v>
      </c>
      <c r="AB26" s="548">
        <f t="shared" si="43"/>
        <v>0.1</v>
      </c>
      <c r="AC26" s="549">
        <f t="shared" ref="AC26" si="47">AC17</f>
        <v>0.1</v>
      </c>
      <c r="AD26" s="549">
        <f t="shared" si="43"/>
        <v>0.1</v>
      </c>
      <c r="AE26" s="549">
        <v>0.1</v>
      </c>
      <c r="AF26" s="549">
        <f t="shared" si="43"/>
        <v>0.1</v>
      </c>
      <c r="AG26" s="548">
        <f t="shared" si="43"/>
        <v>0.1</v>
      </c>
      <c r="AH26" s="548">
        <f t="shared" si="43"/>
        <v>0.1</v>
      </c>
      <c r="AI26" s="548">
        <f t="shared" si="43"/>
        <v>0.1</v>
      </c>
      <c r="AJ26" s="354">
        <f>AJ25/AJ21</f>
        <v>8.7977520915581517E-2</v>
      </c>
    </row>
    <row r="27" spans="1:37" s="7" customFormat="1" x14ac:dyDescent="0.35">
      <c r="A27" s="77" t="s">
        <v>136</v>
      </c>
      <c r="B27" s="78" t="s">
        <v>137</v>
      </c>
      <c r="C27" s="355">
        <f>G27</f>
        <v>4500.2228659056054</v>
      </c>
      <c r="D27" s="355">
        <f>U27</f>
        <v>4989.3729458632715</v>
      </c>
      <c r="E27" s="213">
        <f>VLOOKUP($A17,Elanikud!$A$1:$S$20,Elanikud!B$21,FALSE)</f>
        <v>4171.4269040722438</v>
      </c>
      <c r="F27" s="213">
        <f>VLOOKUP($A17,Elanikud!$A$1:$S$20,Elanikud!C$21,FALSE)</f>
        <v>4321.8795365479637</v>
      </c>
      <c r="G27" s="213">
        <f>VLOOKUP($A17,Elanikud!$A$1:$S$20,Elanikud!D$21,FALSE)</f>
        <v>4500.2228659056054</v>
      </c>
      <c r="H27" s="213">
        <f>VLOOKUP($A17,Elanikud!$A$1:$S$20,Elanikud!E$21,FALSE)</f>
        <v>4611</v>
      </c>
      <c r="I27" s="62">
        <f>VLOOKUP($A17,Elanikud!$A$1:$S$20,Elanikud!E$21,FALSE)</f>
        <v>4611</v>
      </c>
      <c r="J27" s="241">
        <f>VLOOKUP($A17,Elanikud!$A$1:$S$20,Elanikud!F$21,FALSE)</f>
        <v>4645.8597528245391</v>
      </c>
      <c r="K27" s="241">
        <f>VLOOKUP($A17,Elanikud!$A$1:$S$20,Elanikud!G$21,FALSE)</f>
        <v>4679.9069066204484</v>
      </c>
      <c r="L27" s="241">
        <f>VLOOKUP($A17,Elanikud!$A$1:$S$20,Elanikud!H$21,FALSE)</f>
        <v>4713.007270722449</v>
      </c>
      <c r="M27" s="241">
        <f>VLOOKUP($A17,Elanikud!$A$1:$S$20,Elanikud!I$21,FALSE)</f>
        <v>4745.2055753523</v>
      </c>
      <c r="N27" s="241">
        <f>VLOOKUP($A17,Elanikud!$A$1:$S$20,Elanikud!J$21,FALSE)</f>
        <v>4776.7329266557599</v>
      </c>
      <c r="O27" s="241">
        <f>VLOOKUP($A17,Elanikud!$A$1:$S$20,Elanikud!K$21,FALSE)</f>
        <v>4807.6042347067469</v>
      </c>
      <c r="P27" s="241">
        <f>VLOOKUP($A17,Elanikud!$A$1:$S$20,Elanikud!L$21,FALSE)</f>
        <v>4838.1549761684582</v>
      </c>
      <c r="Q27" s="241">
        <f>VLOOKUP($A17,Elanikud!$A$1:$S$20,Elanikud!M$21,FALSE)</f>
        <v>4868.4447913365721</v>
      </c>
      <c r="R27" s="241">
        <f>VLOOKUP($A17,Elanikud!$A$1:$S$20,Elanikud!N$21,FALSE)</f>
        <v>4898.5855057654881</v>
      </c>
      <c r="S27" s="241">
        <f>VLOOKUP($A17,Elanikud!$A$1:$S$20,Elanikud!O$21,FALSE)</f>
        <v>4928.6367597508852</v>
      </c>
      <c r="T27" s="241">
        <f>VLOOKUP($A17,Elanikud!$A$1:$S$20,Elanikud!P$21,FALSE)</f>
        <v>4958.8520245494001</v>
      </c>
      <c r="U27" s="241">
        <f>VLOOKUP($A17,Elanikud!$A$1:$S$20,Elanikud!Q$21,FALSE)</f>
        <v>4989.3729458632715</v>
      </c>
      <c r="W27" s="314" t="s">
        <v>570</v>
      </c>
      <c r="X27" s="328">
        <f t="shared" si="43"/>
        <v>107.64940831369992</v>
      </c>
      <c r="Y27" s="328">
        <f t="shared" si="43"/>
        <v>100</v>
      </c>
      <c r="Z27" s="328">
        <f t="shared" si="43"/>
        <v>74.999999999999943</v>
      </c>
      <c r="AA27" s="328">
        <f t="shared" si="43"/>
        <v>74.999999999999972</v>
      </c>
      <c r="AB27" s="328">
        <f t="shared" si="43"/>
        <v>135.07443228214763</v>
      </c>
      <c r="AC27" s="546">
        <f t="shared" ref="AC27" si="48">AC18</f>
        <v>159.01338807591887</v>
      </c>
      <c r="AD27" s="546">
        <f>AD23*1000/AD28</f>
        <v>146.50872817955113</v>
      </c>
      <c r="AE27" s="328">
        <f t="shared" si="43"/>
        <v>0</v>
      </c>
      <c r="AF27" s="328">
        <f t="shared" si="43"/>
        <v>80</v>
      </c>
      <c r="AG27" s="328">
        <f t="shared" si="43"/>
        <v>75</v>
      </c>
      <c r="AH27" s="328">
        <f t="shared" si="43"/>
        <v>148.76942406627271</v>
      </c>
      <c r="AI27" s="328">
        <f t="shared" si="43"/>
        <v>75</v>
      </c>
      <c r="AJ27" s="329">
        <f>AJ23*1000/AJ28</f>
        <v>98.722910563686682</v>
      </c>
    </row>
    <row r="28" spans="1:37" x14ac:dyDescent="0.35">
      <c r="A28" s="35" t="s">
        <v>43</v>
      </c>
      <c r="B28" s="33"/>
      <c r="C28" s="33"/>
      <c r="D28" s="33"/>
      <c r="E28" s="44"/>
      <c r="F28" s="44"/>
      <c r="G28" s="44"/>
      <c r="H28" s="44"/>
      <c r="I28" s="368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W28" s="314" t="s">
        <v>578</v>
      </c>
      <c r="X28" s="315">
        <f t="shared" si="43"/>
        <v>4989.3729458632715</v>
      </c>
      <c r="Y28" s="315">
        <f t="shared" si="43"/>
        <v>134.447143347501</v>
      </c>
      <c r="Z28" s="315">
        <f t="shared" si="43"/>
        <v>2720.4620609934118</v>
      </c>
      <c r="AA28" s="315">
        <f t="shared" si="43"/>
        <v>2633.2837474647322</v>
      </c>
      <c r="AB28" s="315">
        <f t="shared" si="43"/>
        <v>301.89439425197406</v>
      </c>
      <c r="AC28" s="547">
        <f>AC19+76</f>
        <v>482.85409404567127</v>
      </c>
      <c r="AD28" s="547">
        <v>802</v>
      </c>
      <c r="AE28" s="315">
        <f t="shared" si="43"/>
        <v>0</v>
      </c>
      <c r="AF28" s="315">
        <f t="shared" si="43"/>
        <v>75.744113253183471</v>
      </c>
      <c r="AG28" s="315">
        <f t="shared" si="43"/>
        <v>116.86234616205448</v>
      </c>
      <c r="AH28" s="315">
        <f t="shared" si="43"/>
        <v>219.65792843423202</v>
      </c>
      <c r="AI28" s="315">
        <f t="shared" si="43"/>
        <v>89.810877143060381</v>
      </c>
      <c r="AJ28" s="316">
        <f>SUM(X28:AI28)</f>
        <v>12566.38965095909</v>
      </c>
    </row>
    <row r="29" spans="1:37" ht="16.5" x14ac:dyDescent="0.35">
      <c r="A29" s="30" t="s">
        <v>132</v>
      </c>
      <c r="B29" s="31" t="s">
        <v>125</v>
      </c>
      <c r="C29" s="53">
        <f t="shared" ref="C29:C34" si="49">G29/365</f>
        <v>1346.8109589041096</v>
      </c>
      <c r="D29" s="53">
        <f t="shared" ref="D29:D34" si="50">U29/365</f>
        <v>1563.8370377580534</v>
      </c>
      <c r="E29" s="214">
        <f>SM!U12</f>
        <v>561411</v>
      </c>
      <c r="F29" s="214">
        <f>SM!V12</f>
        <v>541448</v>
      </c>
      <c r="G29" s="214">
        <f>SM!W12</f>
        <v>491586</v>
      </c>
      <c r="H29" s="214">
        <f>SM!X12</f>
        <v>272732</v>
      </c>
      <c r="I29" s="47">
        <f>(I30+I33)/(100%-I35)</f>
        <v>521823.71809005918</v>
      </c>
      <c r="J29" s="4">
        <f t="shared" ref="J29:U29" si="51">(J30+J33)/(100%-J35)</f>
        <v>525854.29078685108</v>
      </c>
      <c r="K29" s="4">
        <f t="shared" si="51"/>
        <v>529883.93381787557</v>
      </c>
      <c r="L29" s="4">
        <f t="shared" si="51"/>
        <v>533906.30004587292</v>
      </c>
      <c r="M29" s="4">
        <f t="shared" si="51"/>
        <v>537923.40889689012</v>
      </c>
      <c r="N29" s="4">
        <f t="shared" si="51"/>
        <v>541946.19758232718</v>
      </c>
      <c r="O29" s="4">
        <f t="shared" si="51"/>
        <v>545975.46006285551</v>
      </c>
      <c r="P29" s="4">
        <f t="shared" si="51"/>
        <v>550027.42330253648</v>
      </c>
      <c r="Q29" s="4">
        <f t="shared" si="51"/>
        <v>554105.29306693887</v>
      </c>
      <c r="R29" s="4">
        <f t="shared" si="51"/>
        <v>558214.87023261853</v>
      </c>
      <c r="S29" s="4">
        <f t="shared" si="51"/>
        <v>562359.52098029677</v>
      </c>
      <c r="T29" s="4">
        <f t="shared" si="51"/>
        <v>566552.17870287283</v>
      </c>
      <c r="U29" s="4">
        <f t="shared" si="51"/>
        <v>570800.51878168946</v>
      </c>
      <c r="W29" s="543"/>
      <c r="X29" s="544"/>
      <c r="Y29" s="544"/>
      <c r="Z29" s="544"/>
      <c r="AA29" s="544"/>
      <c r="AB29" s="544"/>
      <c r="AC29" s="544"/>
      <c r="AD29" s="544"/>
      <c r="AE29" s="544"/>
      <c r="AF29" s="544"/>
      <c r="AG29" s="544"/>
      <c r="AH29" s="544"/>
      <c r="AI29" s="544"/>
      <c r="AJ29" s="545"/>
    </row>
    <row r="30" spans="1:37" ht="16.5" x14ac:dyDescent="0.35">
      <c r="A30" s="30" t="s">
        <v>133</v>
      </c>
      <c r="B30" s="31" t="s">
        <v>125</v>
      </c>
      <c r="C30" s="53">
        <f t="shared" si="49"/>
        <v>1034.6638082465759</v>
      </c>
      <c r="D30" s="53">
        <f t="shared" si="50"/>
        <v>1140.8697965833801</v>
      </c>
      <c r="E30" s="45">
        <f>E31+E32</f>
        <v>400450.74887999985</v>
      </c>
      <c r="F30" s="45">
        <f>F31+F32</f>
        <v>420638.79005000007</v>
      </c>
      <c r="G30" s="45">
        <f>G31+G32</f>
        <v>377652.29001000017</v>
      </c>
      <c r="H30" s="45"/>
      <c r="I30" s="48">
        <f t="shared" ref="I30:U30" si="52">I31+I32</f>
        <v>402438.17060831893</v>
      </c>
      <c r="J30" s="12">
        <f t="shared" si="52"/>
        <v>403726.09335049137</v>
      </c>
      <c r="K30" s="12">
        <f t="shared" si="52"/>
        <v>404983.99394148827</v>
      </c>
      <c r="L30" s="12">
        <f t="shared" si="52"/>
        <v>406206.91459487693</v>
      </c>
      <c r="M30" s="12">
        <f t="shared" si="52"/>
        <v>407396.507906135</v>
      </c>
      <c r="N30" s="12">
        <f t="shared" si="52"/>
        <v>408561.3122852298</v>
      </c>
      <c r="O30" s="12">
        <f t="shared" si="52"/>
        <v>409701.87859732041</v>
      </c>
      <c r="P30" s="12">
        <f t="shared" si="52"/>
        <v>410830.60130848864</v>
      </c>
      <c r="Q30" s="12">
        <f t="shared" si="52"/>
        <v>411949.68387937109</v>
      </c>
      <c r="R30" s="12">
        <f t="shared" si="52"/>
        <v>413063.25779866171</v>
      </c>
      <c r="S30" s="12">
        <f t="shared" si="52"/>
        <v>414173.52652699733</v>
      </c>
      <c r="T30" s="12">
        <f t="shared" si="52"/>
        <v>415289.85477208393</v>
      </c>
      <c r="U30" s="12">
        <f t="shared" si="52"/>
        <v>416417.47575293377</v>
      </c>
    </row>
    <row r="31" spans="1:37" ht="30" x14ac:dyDescent="0.35">
      <c r="A31" s="30" t="s">
        <v>134</v>
      </c>
      <c r="B31" s="31" t="s">
        <v>125</v>
      </c>
      <c r="C31" s="53">
        <f t="shared" si="49"/>
        <v>455.51917810958946</v>
      </c>
      <c r="D31" s="53">
        <f t="shared" si="50"/>
        <v>505.03166872036655</v>
      </c>
      <c r="E31" s="45">
        <f>ABS(SUMIFS(SM!I:I,SM!$C:$C,"era",SM!$D:$D,$E17))</f>
        <v>166926.80890999991</v>
      </c>
      <c r="F31" s="45">
        <f>ABS(SUMIFS(SM!J:J,SM!$C:$C,"era",SM!$D:$D,$E17))</f>
        <v>169307.77001000015</v>
      </c>
      <c r="G31" s="45">
        <f>ABS(SUMIFS(SM!K:K,SM!$C:$C,"era",SM!$D:$D,$E17))</f>
        <v>166264.50001000016</v>
      </c>
      <c r="H31" s="71"/>
      <c r="I31" s="47">
        <f t="shared" ref="I31:U31" si="53">I37*I36*365/1000</f>
        <v>170357.25393831899</v>
      </c>
      <c r="J31" s="4">
        <f t="shared" si="53"/>
        <v>171645.17668049142</v>
      </c>
      <c r="K31" s="4">
        <f t="shared" si="53"/>
        <v>172903.07727148832</v>
      </c>
      <c r="L31" s="4">
        <f t="shared" si="53"/>
        <v>174125.99792487698</v>
      </c>
      <c r="M31" s="4">
        <f t="shared" si="53"/>
        <v>175315.59123613505</v>
      </c>
      <c r="N31" s="4">
        <f t="shared" si="53"/>
        <v>176480.39561522982</v>
      </c>
      <c r="O31" s="4">
        <f t="shared" si="53"/>
        <v>177620.96192732049</v>
      </c>
      <c r="P31" s="4">
        <f t="shared" si="53"/>
        <v>178749.68463848869</v>
      </c>
      <c r="Q31" s="4">
        <f t="shared" si="53"/>
        <v>179868.76720937114</v>
      </c>
      <c r="R31" s="4">
        <f t="shared" si="53"/>
        <v>180982.34112866179</v>
      </c>
      <c r="S31" s="4">
        <f t="shared" si="53"/>
        <v>182092.60985699735</v>
      </c>
      <c r="T31" s="4">
        <f t="shared" si="53"/>
        <v>183208.93810208395</v>
      </c>
      <c r="U31" s="4">
        <f t="shared" si="53"/>
        <v>184336.55908293379</v>
      </c>
      <c r="W31" s="313"/>
      <c r="X31" s="330" t="s">
        <v>432</v>
      </c>
      <c r="Y31" s="330" t="s">
        <v>274</v>
      </c>
      <c r="Z31" s="330" t="s">
        <v>487</v>
      </c>
      <c r="AA31" s="330" t="s">
        <v>488</v>
      </c>
      <c r="AB31" s="330" t="s">
        <v>282</v>
      </c>
      <c r="AC31" s="330" t="s">
        <v>434</v>
      </c>
      <c r="AD31" s="330" t="s">
        <v>433</v>
      </c>
      <c r="AE31" s="330" t="s">
        <v>483</v>
      </c>
      <c r="AF31" s="330" t="s">
        <v>484</v>
      </c>
      <c r="AG31" s="330" t="s">
        <v>562</v>
      </c>
      <c r="AH31" s="330" t="s">
        <v>563</v>
      </c>
      <c r="AI31" s="330" t="s">
        <v>435</v>
      </c>
      <c r="AJ31" s="331" t="s">
        <v>12</v>
      </c>
    </row>
    <row r="32" spans="1:37" ht="18" x14ac:dyDescent="0.35">
      <c r="A32" s="30" t="s">
        <v>498</v>
      </c>
      <c r="B32" s="31" t="s">
        <v>125</v>
      </c>
      <c r="C32" s="53">
        <f t="shared" si="49"/>
        <v>579.14463013698628</v>
      </c>
      <c r="D32" s="53">
        <f t="shared" si="50"/>
        <v>635.8381278630136</v>
      </c>
      <c r="E32" s="45">
        <f>ABS(SUMIFS(SM!I:I,SM!$C:$C,"jur",SM!$D:$D,$E17))</f>
        <v>233523.93996999992</v>
      </c>
      <c r="F32" s="45">
        <f>ABS(SUMIFS(SM!J:J,SM!$C:$C,"jur",SM!$D:$D,$E17))</f>
        <v>251331.02003999992</v>
      </c>
      <c r="G32" s="45">
        <f>ABS(SUMIFS(SM!K:K,SM!$C:$C,"jur",SM!$D:$D,$E17))</f>
        <v>211387.79</v>
      </c>
      <c r="H32" s="71"/>
      <c r="I32" s="76">
        <f>AVERAGE(E32:G32)</f>
        <v>232080.91666999995</v>
      </c>
      <c r="J32" s="4">
        <f t="shared" ref="J32:U32" si="54">I32</f>
        <v>232080.91666999995</v>
      </c>
      <c r="K32" s="4">
        <f t="shared" si="54"/>
        <v>232080.91666999995</v>
      </c>
      <c r="L32" s="4">
        <f t="shared" si="54"/>
        <v>232080.91666999995</v>
      </c>
      <c r="M32" s="4">
        <f t="shared" si="54"/>
        <v>232080.91666999995</v>
      </c>
      <c r="N32" s="4">
        <f t="shared" si="54"/>
        <v>232080.91666999995</v>
      </c>
      <c r="O32" s="4">
        <f t="shared" si="54"/>
        <v>232080.91666999995</v>
      </c>
      <c r="P32" s="4">
        <f t="shared" si="54"/>
        <v>232080.91666999995</v>
      </c>
      <c r="Q32" s="4">
        <f t="shared" si="54"/>
        <v>232080.91666999995</v>
      </c>
      <c r="R32" s="4">
        <f t="shared" si="54"/>
        <v>232080.91666999995</v>
      </c>
      <c r="S32" s="4">
        <f t="shared" si="54"/>
        <v>232080.91666999995</v>
      </c>
      <c r="T32" s="4">
        <f t="shared" si="54"/>
        <v>232080.91666999995</v>
      </c>
      <c r="U32" s="4">
        <f t="shared" si="54"/>
        <v>232080.91666999995</v>
      </c>
      <c r="W32" s="995" t="s">
        <v>572</v>
      </c>
      <c r="X32" s="996"/>
      <c r="Y32" s="996"/>
      <c r="Z32" s="996"/>
      <c r="AA32" s="996"/>
      <c r="AB32" s="996"/>
      <c r="AC32" s="996"/>
      <c r="AD32" s="996"/>
      <c r="AE32" s="996"/>
      <c r="AF32" s="996"/>
      <c r="AG32" s="996"/>
      <c r="AH32" s="996"/>
      <c r="AI32" s="996"/>
      <c r="AJ32" s="997"/>
    </row>
    <row r="33" spans="1:37" s="70" customFormat="1" x14ac:dyDescent="0.35">
      <c r="A33" s="260" t="s">
        <v>525</v>
      </c>
      <c r="B33" s="261" t="s">
        <v>521</v>
      </c>
      <c r="C33" s="262">
        <f t="shared" si="49"/>
        <v>27.522849315068495</v>
      </c>
      <c r="D33" s="262">
        <f t="shared" si="50"/>
        <v>32.007981735159824</v>
      </c>
      <c r="E33" s="263">
        <f>ABS(SUMIFS(SM!I:I,SM!$C:$C,"OMA",SM!$D:$D,$E17))</f>
        <v>13274.42</v>
      </c>
      <c r="F33" s="263">
        <f>ABS(SUMIFS(SM!J:J,SM!$C:$C,"OMA",SM!$D:$D,$E17))</f>
        <v>11728.480000000001</v>
      </c>
      <c r="G33" s="263">
        <f>ABS(SUMIFS(SM!K:K,SM!$C:$C,"OMA",SM!$D:$D,$E17))</f>
        <v>10045.84</v>
      </c>
      <c r="H33" s="263"/>
      <c r="I33" s="276">
        <f>AVERAGE(E33:G33)</f>
        <v>11682.913333333336</v>
      </c>
      <c r="J33" s="264">
        <f t="shared" ref="J33:U33" si="55">I33</f>
        <v>11682.913333333336</v>
      </c>
      <c r="K33" s="264">
        <f t="shared" si="55"/>
        <v>11682.913333333336</v>
      </c>
      <c r="L33" s="264">
        <f t="shared" si="55"/>
        <v>11682.913333333336</v>
      </c>
      <c r="M33" s="264">
        <f t="shared" si="55"/>
        <v>11682.913333333336</v>
      </c>
      <c r="N33" s="264">
        <f t="shared" si="55"/>
        <v>11682.913333333336</v>
      </c>
      <c r="O33" s="264">
        <f t="shared" si="55"/>
        <v>11682.913333333336</v>
      </c>
      <c r="P33" s="264">
        <f t="shared" si="55"/>
        <v>11682.913333333336</v>
      </c>
      <c r="Q33" s="264">
        <f t="shared" si="55"/>
        <v>11682.913333333336</v>
      </c>
      <c r="R33" s="264">
        <f t="shared" si="55"/>
        <v>11682.913333333336</v>
      </c>
      <c r="S33" s="264">
        <f t="shared" si="55"/>
        <v>11682.913333333336</v>
      </c>
      <c r="T33" s="264">
        <f t="shared" si="55"/>
        <v>11682.913333333336</v>
      </c>
      <c r="U33" s="264">
        <f t="shared" si="55"/>
        <v>11682.913333333336</v>
      </c>
      <c r="W33" s="314" t="s">
        <v>574</v>
      </c>
      <c r="X33" s="328">
        <f>C29</f>
        <v>1346.8109589041096</v>
      </c>
      <c r="Y33" s="328">
        <f>C50</f>
        <v>0</v>
      </c>
      <c r="Z33" s="328">
        <f>C71</f>
        <v>113.21643835616439</v>
      </c>
      <c r="AA33" s="328">
        <f>C92</f>
        <v>189.17534246575343</v>
      </c>
      <c r="AB33" s="328">
        <f>C134</f>
        <v>59.304109589041097</v>
      </c>
      <c r="AC33" s="328">
        <f>C155</f>
        <v>166.8186191780822</v>
      </c>
      <c r="AD33" s="328">
        <f>C176</f>
        <v>0</v>
      </c>
      <c r="AE33" s="328">
        <f>C197</f>
        <v>0</v>
      </c>
      <c r="AF33" s="328">
        <f>C218</f>
        <v>0</v>
      </c>
      <c r="AG33" s="328">
        <f>C239</f>
        <v>0</v>
      </c>
      <c r="AH33" s="328">
        <f>C260</f>
        <v>37.375342465753427</v>
      </c>
      <c r="AI33" s="328">
        <f>C281</f>
        <v>4.9887123287671233</v>
      </c>
      <c r="AJ33" s="329">
        <f>SUM(X33:AI33)</f>
        <v>1917.6895232876711</v>
      </c>
    </row>
    <row r="34" spans="1:37" ht="16.5" x14ac:dyDescent="0.35">
      <c r="A34" s="30" t="s">
        <v>135</v>
      </c>
      <c r="B34" s="31" t="s">
        <v>125</v>
      </c>
      <c r="C34" s="53">
        <f t="shared" si="49"/>
        <v>284.62430134246529</v>
      </c>
      <c r="D34" s="53">
        <f t="shared" si="50"/>
        <v>390.95925943951335</v>
      </c>
      <c r="E34" s="214">
        <f>E29-E30-E33</f>
        <v>147685.83112000013</v>
      </c>
      <c r="F34" s="214">
        <f t="shared" ref="F34:G34" si="56">F29-F30-F33</f>
        <v>109080.72994999994</v>
      </c>
      <c r="G34" s="214">
        <f t="shared" si="56"/>
        <v>103887.86998999983</v>
      </c>
      <c r="H34" s="45"/>
      <c r="I34" s="47">
        <f>I35*I29</f>
        <v>107702.63414840687</v>
      </c>
      <c r="J34" s="4">
        <f t="shared" ref="J34:U34" si="57">J35*J29</f>
        <v>110445.28410302635</v>
      </c>
      <c r="K34" s="4">
        <f t="shared" si="57"/>
        <v>113217.02654305399</v>
      </c>
      <c r="L34" s="4">
        <f t="shared" si="57"/>
        <v>116016.47211766265</v>
      </c>
      <c r="M34" s="4">
        <f t="shared" si="57"/>
        <v>118843.98765742181</v>
      </c>
      <c r="N34" s="4">
        <f t="shared" si="57"/>
        <v>121701.97196376404</v>
      </c>
      <c r="O34" s="4">
        <f t="shared" si="57"/>
        <v>124590.66813220172</v>
      </c>
      <c r="P34" s="4">
        <f t="shared" si="57"/>
        <v>127513.90866071447</v>
      </c>
      <c r="Q34" s="4">
        <f t="shared" si="57"/>
        <v>130472.69585423445</v>
      </c>
      <c r="R34" s="4">
        <f t="shared" si="57"/>
        <v>133468.69910062349</v>
      </c>
      <c r="S34" s="4">
        <f t="shared" si="57"/>
        <v>136503.08111996611</v>
      </c>
      <c r="T34" s="4">
        <f t="shared" si="57"/>
        <v>139579.41059745554</v>
      </c>
      <c r="U34" s="4">
        <f t="shared" si="57"/>
        <v>142700.12969542237</v>
      </c>
      <c r="W34" s="314" t="s">
        <v>575</v>
      </c>
      <c r="X34" s="328">
        <f>C30</f>
        <v>1034.6638082465759</v>
      </c>
      <c r="Y34" s="328">
        <f>C51</f>
        <v>0</v>
      </c>
      <c r="Z34" s="328">
        <f>C72</f>
        <v>71.472027397260305</v>
      </c>
      <c r="AA34" s="328">
        <f>C93</f>
        <v>166.56309589041095</v>
      </c>
      <c r="AB34" s="328">
        <f>C135</f>
        <v>38.359534246575329</v>
      </c>
      <c r="AC34" s="328">
        <f>C156</f>
        <v>159.24838356164372</v>
      </c>
      <c r="AD34" s="328">
        <f>C177</f>
        <v>0</v>
      </c>
      <c r="AE34" s="328">
        <f>C198</f>
        <v>0</v>
      </c>
      <c r="AF34" s="328">
        <f>C219</f>
        <v>0</v>
      </c>
      <c r="AG34" s="328">
        <f>C240</f>
        <v>0</v>
      </c>
      <c r="AH34" s="328">
        <f>C261</f>
        <v>28.351945205479439</v>
      </c>
      <c r="AI34" s="328">
        <f>C282</f>
        <v>4.8030684931506853</v>
      </c>
      <c r="AJ34" s="329">
        <f>SUM(X34:AI34)</f>
        <v>1503.4618630410964</v>
      </c>
      <c r="AK34" s="645"/>
    </row>
    <row r="35" spans="1:37" x14ac:dyDescent="0.35">
      <c r="A35" s="30" t="s">
        <v>135</v>
      </c>
      <c r="B35" s="31" t="s">
        <v>131</v>
      </c>
      <c r="C35" s="73">
        <f>G35</f>
        <v>0.21133203547293827</v>
      </c>
      <c r="D35" s="54">
        <f>U35</f>
        <v>0.25</v>
      </c>
      <c r="E35" s="50">
        <f>IFERROR(E34/E29,"")</f>
        <v>0.26306187645058637</v>
      </c>
      <c r="F35" s="50">
        <f>IFERROR(F34/F29,"")</f>
        <v>0.2014611374499489</v>
      </c>
      <c r="G35" s="50">
        <f>IFERROR(G34/G29,"")</f>
        <v>0.21133203547293827</v>
      </c>
      <c r="H35" s="50"/>
      <c r="I35" s="227">
        <f>AVERAGE(F35:G35)</f>
        <v>0.2063965864614436</v>
      </c>
      <c r="J35" s="363">
        <f>I35+($U$35-$I$35)/12</f>
        <v>0.21003020425632329</v>
      </c>
      <c r="K35" s="363">
        <f t="shared" ref="K35:T35" si="58">J35+($U$35-$I$35)/12</f>
        <v>0.21366382205120299</v>
      </c>
      <c r="L35" s="363">
        <f t="shared" si="58"/>
        <v>0.21729743984608269</v>
      </c>
      <c r="M35" s="363">
        <f t="shared" si="58"/>
        <v>0.22093105764096238</v>
      </c>
      <c r="N35" s="363">
        <f t="shared" si="58"/>
        <v>0.22456467543584208</v>
      </c>
      <c r="O35" s="363">
        <f t="shared" si="58"/>
        <v>0.22819829323072177</v>
      </c>
      <c r="P35" s="363">
        <f t="shared" si="58"/>
        <v>0.23183191102560147</v>
      </c>
      <c r="Q35" s="363">
        <f t="shared" si="58"/>
        <v>0.23546552882048116</v>
      </c>
      <c r="R35" s="363">
        <f t="shared" si="58"/>
        <v>0.23909914661536086</v>
      </c>
      <c r="S35" s="363">
        <f t="shared" si="58"/>
        <v>0.24273276441024055</v>
      </c>
      <c r="T35" s="363">
        <f t="shared" si="58"/>
        <v>0.24636638220512025</v>
      </c>
      <c r="U35" s="227">
        <f>$AK$47</f>
        <v>0.25</v>
      </c>
      <c r="W35" s="317" t="s">
        <v>566</v>
      </c>
      <c r="X35" s="328">
        <f>C31</f>
        <v>455.51917810958946</v>
      </c>
      <c r="Y35" s="328">
        <f>C52</f>
        <v>0</v>
      </c>
      <c r="Z35" s="328">
        <f>C73</f>
        <v>70.973534246575369</v>
      </c>
      <c r="AA35" s="328">
        <f>C94</f>
        <v>66.394191780821885</v>
      </c>
      <c r="AB35" s="328">
        <f>C136</f>
        <v>31.689589041095871</v>
      </c>
      <c r="AC35" s="328">
        <f>C157</f>
        <v>53.016958904109586</v>
      </c>
      <c r="AD35" s="328">
        <f>C178</f>
        <v>0</v>
      </c>
      <c r="AE35" s="328">
        <f>C199</f>
        <v>0</v>
      </c>
      <c r="AF35" s="328">
        <f>C220</f>
        <v>0</v>
      </c>
      <c r="AG35" s="328">
        <f>C241</f>
        <v>0</v>
      </c>
      <c r="AH35" s="328">
        <f>C262</f>
        <v>27.530684931506837</v>
      </c>
      <c r="AI35" s="328">
        <f>C283</f>
        <v>4.8030684931506853</v>
      </c>
      <c r="AJ35" s="329">
        <f>SUM(X35:AI35)</f>
        <v>709.92720550684965</v>
      </c>
    </row>
    <row r="36" spans="1:37" s="70" customFormat="1" x14ac:dyDescent="0.35">
      <c r="A36" s="181" t="s">
        <v>128</v>
      </c>
      <c r="B36" s="182" t="s">
        <v>129</v>
      </c>
      <c r="C36" s="211">
        <f>G36</f>
        <v>103.35079773488418</v>
      </c>
      <c r="D36" s="211">
        <f>U36</f>
        <v>103.35079773488418</v>
      </c>
      <c r="E36" s="71">
        <f>E31/E37/365*1000</f>
        <v>111.94115351538652</v>
      </c>
      <c r="F36" s="71">
        <f>F31/F37/365*1000</f>
        <v>109.5853644767694</v>
      </c>
      <c r="G36" s="71">
        <f>G31/G37/365*1000</f>
        <v>103.35079773488418</v>
      </c>
      <c r="H36" s="71"/>
      <c r="I36" s="76">
        <f>G36</f>
        <v>103.35079773488418</v>
      </c>
      <c r="J36" s="4">
        <f>IF(I36&gt;Veehind!$B$16,I36,I36+(Veehind!$B$16-$I36)/12)</f>
        <v>103.35079773488418</v>
      </c>
      <c r="K36" s="4">
        <f>IF(J36&gt;Veehind!$B$16,J36,J36+(Veehind!$B$16-$I36)/12)</f>
        <v>103.35079773488418</v>
      </c>
      <c r="L36" s="4">
        <f>IF(K36&gt;Veehind!$B$16,K36,K36+(Veehind!$B$16-$I36)/12)</f>
        <v>103.35079773488418</v>
      </c>
      <c r="M36" s="4">
        <f>IF(L36&gt;Veehind!$B$16,L36,L36+(Veehind!$B$16-$I36)/12)</f>
        <v>103.35079773488418</v>
      </c>
      <c r="N36" s="4">
        <f>IF(M36&gt;Veehind!$B$16,M36,M36+(Veehind!$B$16-$I36)/12)</f>
        <v>103.35079773488418</v>
      </c>
      <c r="O36" s="4">
        <f>IF(N36&gt;Veehind!$B$16,N36,N36+(Veehind!$B$16-$I36)/12)</f>
        <v>103.35079773488418</v>
      </c>
      <c r="P36" s="4">
        <f>IF(O36&gt;Veehind!$B$16,O36,O36+(Veehind!$B$16-$I36)/12)</f>
        <v>103.35079773488418</v>
      </c>
      <c r="Q36" s="4">
        <f>IF(P36&gt;Veehind!$B$16,P36,P36+(Veehind!$B$16-$I36)/12)</f>
        <v>103.35079773488418</v>
      </c>
      <c r="R36" s="4">
        <f>IF(Q36&gt;Veehind!$B$16,Q36,Q36+(Veehind!$B$16-$I36)/12)</f>
        <v>103.35079773488418</v>
      </c>
      <c r="S36" s="4">
        <f>IF(R36&gt;Veehind!$B$16,R36,R36+(Veehind!$B$16-$I36)/12)</f>
        <v>103.35079773488418</v>
      </c>
      <c r="T36" s="4">
        <f>IF(S36&gt;Veehind!$B$16,S36,S36+(Veehind!$B$16-$I36)/12)</f>
        <v>103.35079773488418</v>
      </c>
      <c r="U36" s="4">
        <f>IF(T36&gt;Veehind!$B$16,T36,T36+(Veehind!$B$16-$I36)/12)</f>
        <v>103.35079773488418</v>
      </c>
      <c r="W36" s="317" t="s">
        <v>567</v>
      </c>
      <c r="X36" s="328">
        <f>C32</f>
        <v>579.14463013698628</v>
      </c>
      <c r="Y36" s="328">
        <f>C53</f>
        <v>0</v>
      </c>
      <c r="Z36" s="328">
        <f>C74</f>
        <v>0.49849315068493139</v>
      </c>
      <c r="AA36" s="328">
        <f>C95</f>
        <v>100.16890410958905</v>
      </c>
      <c r="AB36" s="328">
        <f>C137</f>
        <v>6.6699452054794541</v>
      </c>
      <c r="AC36" s="328">
        <f>C158</f>
        <v>106.23142465753415</v>
      </c>
      <c r="AD36" s="328">
        <f>C179</f>
        <v>0</v>
      </c>
      <c r="AE36" s="328">
        <f>C200</f>
        <v>0</v>
      </c>
      <c r="AF36" s="328">
        <f>C221</f>
        <v>0</v>
      </c>
      <c r="AG36" s="328">
        <f>C242</f>
        <v>0</v>
      </c>
      <c r="AH36" s="328">
        <f>C263</f>
        <v>0.82126027397260259</v>
      </c>
      <c r="AI36" s="328">
        <f>C284</f>
        <v>0</v>
      </c>
      <c r="AJ36" s="329">
        <f>SUM(X36:AI36)</f>
        <v>793.53465753424643</v>
      </c>
    </row>
    <row r="37" spans="1:37" s="242" customFormat="1" x14ac:dyDescent="0.35">
      <c r="A37" s="77" t="s">
        <v>136</v>
      </c>
      <c r="B37" s="78" t="s">
        <v>137</v>
      </c>
      <c r="C37" s="355">
        <f>G37</f>
        <v>4407.5051967967283</v>
      </c>
      <c r="D37" s="355">
        <f>U37</f>
        <v>4886.5773635910919</v>
      </c>
      <c r="E37" s="215">
        <f>VLOOKUP($A17,Elanikud!$A$22:$S$41,Elanikud!B$21,FALSE)</f>
        <v>4085.4833872891463</v>
      </c>
      <c r="F37" s="215">
        <f>VLOOKUP($A17,Elanikud!$A$22:$S$41,Elanikud!C$21,FALSE)</f>
        <v>4232.8362583063554</v>
      </c>
      <c r="G37" s="215">
        <f>VLOOKUP($A17,Elanikud!$A$22:$S$41,Elanikud!D$21,FALSE)</f>
        <v>4407.5051967967283</v>
      </c>
      <c r="H37" s="215">
        <f>VLOOKUP($A17,Elanikud!$A$22:$S$41,Elanikud!E$21,FALSE)</f>
        <v>4516</v>
      </c>
      <c r="I37" s="62">
        <f>VLOOKUP($A17,Elanikud!$A$22:$S$41,Elanikud!E$21,FALSE)</f>
        <v>4516</v>
      </c>
      <c r="J37" s="241">
        <f>VLOOKUP($A17,Elanikud!$A$22:$S$41,Elanikud!F$21,FALSE)</f>
        <v>4550.1415406106307</v>
      </c>
      <c r="K37" s="241">
        <f>VLOOKUP($A17,Elanikud!$A$22:$S$41,Elanikud!G$21,FALSE)</f>
        <v>4583.4872240941104</v>
      </c>
      <c r="L37" s="241">
        <f>VLOOKUP($A17,Elanikud!$A$22:$S$41,Elanikud!H$21,FALSE)</f>
        <v>4615.905624502836</v>
      </c>
      <c r="M37" s="241">
        <f>VLOOKUP($A17,Elanikud!$A$22:$S$41,Elanikud!I$21,FALSE)</f>
        <v>4647.4405504860079</v>
      </c>
      <c r="N37" s="241">
        <f>VLOOKUP($A17,Elanikud!$A$22:$S$41,Elanikud!J$21,FALSE)</f>
        <v>4678.3183467311655</v>
      </c>
      <c r="O37" s="241">
        <f>VLOOKUP($A17,Elanikud!$A$22:$S$41,Elanikud!K$21,FALSE)</f>
        <v>4708.5536161213749</v>
      </c>
      <c r="P37" s="241">
        <f>VLOOKUP($A17,Elanikud!$A$22:$S$41,Elanikud!L$21,FALSE)</f>
        <v>4738.474923525644</v>
      </c>
      <c r="Q37" s="241">
        <f>VLOOKUP($A17,Elanikud!$A$22:$S$41,Elanikud!M$21,FALSE)</f>
        <v>4768.140680476241</v>
      </c>
      <c r="R37" s="241">
        <f>VLOOKUP($A17,Elanikud!$A$22:$S$41,Elanikud!N$21,FALSE)</f>
        <v>4797.6604085961681</v>
      </c>
      <c r="S37" s="241">
        <f>VLOOKUP($A17,Elanikud!$A$22:$S$41,Elanikud!O$21,FALSE)</f>
        <v>4827.0925194176934</v>
      </c>
      <c r="T37" s="241">
        <f>VLOOKUP($A17,Elanikud!$A$22:$S$41,Elanikud!P$21,FALSE)</f>
        <v>4856.6852619529564</v>
      </c>
      <c r="U37" s="241">
        <f>VLOOKUP($A17,Elanikud!$A$22:$S$41,Elanikud!Q$21,FALSE)</f>
        <v>4886.5773635910919</v>
      </c>
      <c r="V37" s="7"/>
      <c r="W37" s="314" t="s">
        <v>576</v>
      </c>
      <c r="X37" s="328">
        <f>C34</f>
        <v>284.62430134246529</v>
      </c>
      <c r="Y37" s="328">
        <f>C55</f>
        <v>0</v>
      </c>
      <c r="Z37" s="328">
        <f>C76</f>
        <v>37.160547945205444</v>
      </c>
      <c r="AA37" s="328">
        <f>C97</f>
        <v>10.450410958904133</v>
      </c>
      <c r="AB37" s="328">
        <f>C139</f>
        <v>20.944575342465768</v>
      </c>
      <c r="AC37" s="328">
        <f>C160</f>
        <v>7.5702356164383557</v>
      </c>
      <c r="AD37" s="328">
        <f>C181</f>
        <v>0</v>
      </c>
      <c r="AE37" s="328">
        <f>C202</f>
        <v>0</v>
      </c>
      <c r="AF37" s="328">
        <f>C223</f>
        <v>0</v>
      </c>
      <c r="AG37" s="328">
        <f>C244</f>
        <v>0</v>
      </c>
      <c r="AH37" s="328">
        <f>C265</f>
        <v>7.4727123287671233</v>
      </c>
      <c r="AI37" s="328">
        <f>C286</f>
        <v>0.18564383561643832</v>
      </c>
      <c r="AJ37" s="329">
        <f>SUM(X37:AI37)</f>
        <v>368.40842736986252</v>
      </c>
    </row>
    <row r="38" spans="1:37" collapsed="1" x14ac:dyDescent="0.35">
      <c r="A38" s="36" t="s">
        <v>274</v>
      </c>
      <c r="B38" s="36"/>
      <c r="C38" s="36"/>
      <c r="D38" s="36"/>
      <c r="E38" s="41" t="s">
        <v>274</v>
      </c>
      <c r="F38" s="41"/>
      <c r="G38" s="41"/>
      <c r="H38" s="41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W38" s="314" t="s">
        <v>577</v>
      </c>
      <c r="X38" s="353">
        <f>C35</f>
        <v>0.21133203547293827</v>
      </c>
      <c r="Y38" s="353" t="str">
        <f>C56</f>
        <v/>
      </c>
      <c r="Z38" s="353">
        <f>C77</f>
        <v>0.32822572839028136</v>
      </c>
      <c r="AA38" s="353">
        <f>C98</f>
        <v>5.5241929644165862E-2</v>
      </c>
      <c r="AB38" s="353">
        <f>C140</f>
        <v>0.35317241060704085</v>
      </c>
      <c r="AC38" s="353">
        <f>C161</f>
        <v>4.5380040032323841E-2</v>
      </c>
      <c r="AD38" s="353" t="str">
        <f>C182</f>
        <v/>
      </c>
      <c r="AE38" s="353" t="str">
        <f>C203</f>
        <v/>
      </c>
      <c r="AF38" s="353" t="str">
        <f>C224</f>
        <v/>
      </c>
      <c r="AG38" s="353" t="str">
        <f>C245</f>
        <v/>
      </c>
      <c r="AH38" s="353">
        <f>C266</f>
        <v>0.19993695939011874</v>
      </c>
      <c r="AI38" s="353">
        <f>C287</f>
        <v>3.7212776240059746E-2</v>
      </c>
      <c r="AJ38" s="354">
        <f>AJ37/AJ33</f>
        <v>0.19211056998333398</v>
      </c>
    </row>
    <row r="39" spans="1:37" outlineLevel="1" x14ac:dyDescent="0.35">
      <c r="A39" s="34" t="s">
        <v>21</v>
      </c>
      <c r="B39" s="32"/>
      <c r="C39" s="32"/>
      <c r="D39" s="32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W39" s="314" t="s">
        <v>570</v>
      </c>
      <c r="X39" s="328">
        <f>C36</f>
        <v>103.35079773488418</v>
      </c>
      <c r="Y39" s="328">
        <f>C57</f>
        <v>0</v>
      </c>
      <c r="Z39" s="328">
        <f>C78</f>
        <v>71.024672010422876</v>
      </c>
      <c r="AA39" s="328">
        <f>C99</f>
        <v>76.866481176278</v>
      </c>
      <c r="AB39" s="328">
        <f>C141</f>
        <v>116.37870066815823</v>
      </c>
      <c r="AC39" s="328">
        <f>C162</f>
        <v>150.06082933125788</v>
      </c>
      <c r="AD39" s="328">
        <f>C183</f>
        <v>0</v>
      </c>
      <c r="AE39" s="328">
        <f>C204</f>
        <v>0</v>
      </c>
      <c r="AF39" s="328">
        <f>C225</f>
        <v>0</v>
      </c>
      <c r="AG39" s="328">
        <f>C246</f>
        <v>0</v>
      </c>
      <c r="AH39" s="328">
        <f>C267</f>
        <v>138.84816467919237</v>
      </c>
      <c r="AI39" s="328">
        <f>C288</f>
        <v>64.906330988522782</v>
      </c>
      <c r="AJ39" s="447">
        <f>AJ35*1000/AJ40</f>
        <v>99.035318238526102</v>
      </c>
    </row>
    <row r="40" spans="1:37" ht="16.5" outlineLevel="1" x14ac:dyDescent="0.35">
      <c r="A40" s="30" t="s">
        <v>124</v>
      </c>
      <c r="B40" s="31" t="s">
        <v>125</v>
      </c>
      <c r="C40" s="53">
        <f t="shared" ref="C40:C45" si="59">G40/365</f>
        <v>0</v>
      </c>
      <c r="D40" s="539">
        <f t="shared" ref="D40:D45" si="60">U40/365</f>
        <v>14.938571483055668</v>
      </c>
      <c r="E40" s="46">
        <f>SUMIFS(SM!F:F,SM!$C:$C,"TOO",SM!$D:$D,$E38)</f>
        <v>0</v>
      </c>
      <c r="F40" s="46">
        <f>SUMIFS(SM!G:G,SM!$C:$C,"TOO",SM!$D:$D,$E38)</f>
        <v>0</v>
      </c>
      <c r="G40" s="46">
        <f>SUMIFS(SM!H:H,SM!$C:$C,"TOO",SM!$D:$D,$E38)</f>
        <v>0</v>
      </c>
      <c r="H40" s="46">
        <f>SUMIFS(SM!$R:$R,SM!M:M,Q!E38)</f>
        <v>0</v>
      </c>
      <c r="I40" s="76">
        <f t="shared" ref="I40:U40" si="61">(I41+I44)/(100%-I46)</f>
        <v>0</v>
      </c>
      <c r="J40" s="4">
        <f t="shared" si="61"/>
        <v>0</v>
      </c>
      <c r="K40" s="4">
        <f t="shared" si="61"/>
        <v>2575.2777777777778</v>
      </c>
      <c r="L40" s="4">
        <f t="shared" si="61"/>
        <v>5150.5555555555557</v>
      </c>
      <c r="M40" s="4">
        <f t="shared" si="61"/>
        <v>5185.7431008455769</v>
      </c>
      <c r="N40" s="4">
        <f t="shared" si="61"/>
        <v>5220.1974025430791</v>
      </c>
      <c r="O40" s="4">
        <f t="shared" si="61"/>
        <v>5253.9347549501126</v>
      </c>
      <c r="P40" s="4">
        <f t="shared" si="61"/>
        <v>5287.3217798629421</v>
      </c>
      <c r="Q40" s="4">
        <f t="shared" si="61"/>
        <v>5320.4236544897904</v>
      </c>
      <c r="R40" s="4">
        <f t="shared" si="61"/>
        <v>5353.3625860960801</v>
      </c>
      <c r="S40" s="4">
        <f t="shared" si="61"/>
        <v>5386.2037518900324</v>
      </c>
      <c r="T40" s="4">
        <f t="shared" si="61"/>
        <v>5419.2241550066001</v>
      </c>
      <c r="U40" s="4">
        <f t="shared" si="61"/>
        <v>5452.5785913153186</v>
      </c>
      <c r="W40" s="314" t="s">
        <v>578</v>
      </c>
      <c r="X40" s="315">
        <f>C37</f>
        <v>4407.5051967967283</v>
      </c>
      <c r="Y40" s="315">
        <f>C58</f>
        <v>0</v>
      </c>
      <c r="Z40" s="315">
        <f>C79</f>
        <v>999.28</v>
      </c>
      <c r="AA40" s="315">
        <f>C100</f>
        <v>863.76</v>
      </c>
      <c r="AB40" s="315">
        <f>C142</f>
        <v>272.29715454080764</v>
      </c>
      <c r="AC40" s="315">
        <f>C163</f>
        <v>353.30311807803713</v>
      </c>
      <c r="AD40" s="315">
        <f>C184</f>
        <v>0</v>
      </c>
      <c r="AE40" s="315">
        <f>C205</f>
        <v>0</v>
      </c>
      <c r="AF40" s="315">
        <f>C226</f>
        <v>0</v>
      </c>
      <c r="AG40" s="315">
        <f>C247</f>
        <v>0</v>
      </c>
      <c r="AH40" s="315">
        <f>C268</f>
        <v>198.27906976744185</v>
      </c>
      <c r="AI40" s="315">
        <f>C289</f>
        <v>74</v>
      </c>
      <c r="AJ40" s="316">
        <f>SUM(X40:AI40)</f>
        <v>7168.4245391830145</v>
      </c>
    </row>
    <row r="41" spans="1:37" ht="18" outlineLevel="1" x14ac:dyDescent="0.35">
      <c r="A41" s="30" t="s">
        <v>126</v>
      </c>
      <c r="B41" s="31" t="s">
        <v>125</v>
      </c>
      <c r="C41" s="53">
        <f t="shared" si="59"/>
        <v>0</v>
      </c>
      <c r="D41" s="540">
        <f t="shared" si="60"/>
        <v>13.444714334750103</v>
      </c>
      <c r="E41" s="46">
        <f>E42+E43</f>
        <v>0</v>
      </c>
      <c r="F41" s="167">
        <f>F42+F43</f>
        <v>0</v>
      </c>
      <c r="G41" s="167">
        <f>G42+G43</f>
        <v>0</v>
      </c>
      <c r="H41" s="46"/>
      <c r="I41" s="48">
        <f t="shared" ref="I41:U41" si="62">I42+I43</f>
        <v>0</v>
      </c>
      <c r="J41" s="12">
        <f t="shared" si="62"/>
        <v>0</v>
      </c>
      <c r="K41" s="12">
        <f t="shared" si="62"/>
        <v>2317.75</v>
      </c>
      <c r="L41" s="12">
        <f t="shared" si="62"/>
        <v>4635.5</v>
      </c>
      <c r="M41" s="12">
        <f t="shared" si="62"/>
        <v>4667.1687907610194</v>
      </c>
      <c r="N41" s="12">
        <f t="shared" si="62"/>
        <v>4698.177662288771</v>
      </c>
      <c r="O41" s="12">
        <f t="shared" si="62"/>
        <v>4728.5412794551012</v>
      </c>
      <c r="P41" s="12">
        <f t="shared" si="62"/>
        <v>4758.589601876648</v>
      </c>
      <c r="Q41" s="12">
        <f t="shared" si="62"/>
        <v>4788.3812890408117</v>
      </c>
      <c r="R41" s="12">
        <f t="shared" si="62"/>
        <v>4818.0263274864719</v>
      </c>
      <c r="S41" s="12">
        <f t="shared" si="62"/>
        <v>4847.583376701029</v>
      </c>
      <c r="T41" s="12">
        <f t="shared" si="62"/>
        <v>4877.3017395059405</v>
      </c>
      <c r="U41" s="12">
        <f t="shared" si="62"/>
        <v>4907.3207321837872</v>
      </c>
      <c r="W41" s="995" t="s">
        <v>573</v>
      </c>
      <c r="X41" s="996"/>
      <c r="Y41" s="996"/>
      <c r="Z41" s="996"/>
      <c r="AA41" s="996"/>
      <c r="AB41" s="996"/>
      <c r="AC41" s="996"/>
      <c r="AD41" s="996"/>
      <c r="AE41" s="996"/>
      <c r="AF41" s="996"/>
      <c r="AG41" s="996"/>
      <c r="AH41" s="996"/>
      <c r="AI41" s="996"/>
      <c r="AJ41" s="997"/>
    </row>
    <row r="42" spans="1:37" ht="16.5" outlineLevel="1" x14ac:dyDescent="0.35">
      <c r="A42" s="30" t="s">
        <v>127</v>
      </c>
      <c r="B42" s="31" t="s">
        <v>125</v>
      </c>
      <c r="C42" s="53">
        <f t="shared" si="59"/>
        <v>0</v>
      </c>
      <c r="D42" s="540">
        <f t="shared" si="60"/>
        <v>13.444714334750103</v>
      </c>
      <c r="E42" s="46">
        <f>ABS(SUMIFS(SM!F:F,SM!$C:$C,"ERA",SM!$D:$D,$E38))</f>
        <v>0</v>
      </c>
      <c r="F42" s="46">
        <f>ABS(SUMIFS(SM!G:G,SM!$C:$C,"ERA",SM!$D:$D,$E38))</f>
        <v>0</v>
      </c>
      <c r="G42" s="46">
        <f>ABS(SUMIFS(SM!H:H,SM!$C:$C,"ERA",SM!$D:$D,$E38))</f>
        <v>0</v>
      </c>
      <c r="H42" s="64"/>
      <c r="I42" s="47">
        <f t="shared" ref="I42:U42" si="63">I47*I48/1000*365</f>
        <v>0</v>
      </c>
      <c r="J42" s="4">
        <f t="shared" si="63"/>
        <v>0</v>
      </c>
      <c r="K42" s="4">
        <f t="shared" si="63"/>
        <v>2317.75</v>
      </c>
      <c r="L42" s="4">
        <f t="shared" si="63"/>
        <v>4635.5</v>
      </c>
      <c r="M42" s="4">
        <f t="shared" si="63"/>
        <v>4667.1687907610194</v>
      </c>
      <c r="N42" s="4">
        <f t="shared" si="63"/>
        <v>4698.177662288771</v>
      </c>
      <c r="O42" s="4">
        <f t="shared" si="63"/>
        <v>4728.5412794551012</v>
      </c>
      <c r="P42" s="4">
        <f t="shared" si="63"/>
        <v>4758.589601876648</v>
      </c>
      <c r="Q42" s="4">
        <f t="shared" si="63"/>
        <v>4788.3812890408117</v>
      </c>
      <c r="R42" s="4">
        <f t="shared" si="63"/>
        <v>4818.0263274864719</v>
      </c>
      <c r="S42" s="4">
        <f t="shared" si="63"/>
        <v>4847.583376701029</v>
      </c>
      <c r="T42" s="4">
        <f t="shared" si="63"/>
        <v>4877.3017395059405</v>
      </c>
      <c r="U42" s="4">
        <f t="shared" si="63"/>
        <v>4907.3207321837872</v>
      </c>
      <c r="W42" s="314" t="s">
        <v>574</v>
      </c>
      <c r="X42" s="328">
        <f>D29</f>
        <v>1563.8370377580534</v>
      </c>
      <c r="Y42" s="328">
        <f>D50</f>
        <v>17.926285779666802</v>
      </c>
      <c r="Z42" s="328">
        <f>D71</f>
        <v>289.95645594043856</v>
      </c>
      <c r="AA42" s="328">
        <f>D92</f>
        <v>724.5116483231734</v>
      </c>
      <c r="AB42" s="328">
        <f>D134</f>
        <v>55.738696730033183</v>
      </c>
      <c r="AC42" s="358">
        <f>D155</f>
        <v>220.01472338199798</v>
      </c>
      <c r="AD42" s="328">
        <f>D176</f>
        <v>0</v>
      </c>
      <c r="AE42" s="328">
        <f>D197</f>
        <v>0</v>
      </c>
      <c r="AF42" s="328">
        <f>D218</f>
        <v>0</v>
      </c>
      <c r="AG42" s="328">
        <f>D239</f>
        <v>11.686234616205448</v>
      </c>
      <c r="AH42" s="358">
        <f>D260</f>
        <v>43.176614601226809</v>
      </c>
      <c r="AI42" s="328">
        <f>D281</f>
        <v>8.007234829622254</v>
      </c>
      <c r="AJ42" s="329">
        <f>SUM(X42:AI42)</f>
        <v>2934.8549319604176</v>
      </c>
    </row>
    <row r="43" spans="1:37" ht="16.5" outlineLevel="1" x14ac:dyDescent="0.35">
      <c r="A43" s="30" t="s">
        <v>497</v>
      </c>
      <c r="B43" s="31" t="s">
        <v>125</v>
      </c>
      <c r="C43" s="53">
        <f t="shared" si="59"/>
        <v>0</v>
      </c>
      <c r="D43" s="540">
        <f t="shared" si="60"/>
        <v>0</v>
      </c>
      <c r="E43" s="46">
        <f>ABS(SUMIFS(SM!F:F,SM!$C:$C,"JUR",SM!$D:$D,$E38))</f>
        <v>0</v>
      </c>
      <c r="F43" s="46">
        <f>ABS(SUMIFS(SM!G:G,SM!$C:$C,"JUR",SM!$D:$D,$E38))</f>
        <v>0</v>
      </c>
      <c r="G43" s="46">
        <f>ABS(SUMIFS(SM!H:H,SM!$C:$C,"JUR",SM!$D:$D,$E38))</f>
        <v>0</v>
      </c>
      <c r="H43" s="64"/>
      <c r="I43" s="47">
        <f>AVERAGE(E43:G43)</f>
        <v>0</v>
      </c>
      <c r="J43" s="4">
        <f t="shared" ref="J43:U43" si="64">I43</f>
        <v>0</v>
      </c>
      <c r="K43" s="4">
        <f t="shared" si="64"/>
        <v>0</v>
      </c>
      <c r="L43" s="4">
        <f t="shared" si="64"/>
        <v>0</v>
      </c>
      <c r="M43" s="4">
        <f t="shared" si="64"/>
        <v>0</v>
      </c>
      <c r="N43" s="4">
        <f t="shared" si="64"/>
        <v>0</v>
      </c>
      <c r="O43" s="4">
        <f t="shared" si="64"/>
        <v>0</v>
      </c>
      <c r="P43" s="4">
        <f t="shared" si="64"/>
        <v>0</v>
      </c>
      <c r="Q43" s="4">
        <f t="shared" si="64"/>
        <v>0</v>
      </c>
      <c r="R43" s="4">
        <f t="shared" si="64"/>
        <v>0</v>
      </c>
      <c r="S43" s="4">
        <f t="shared" si="64"/>
        <v>0</v>
      </c>
      <c r="T43" s="4">
        <f t="shared" si="64"/>
        <v>0</v>
      </c>
      <c r="U43" s="4">
        <f t="shared" si="64"/>
        <v>0</v>
      </c>
      <c r="W43" s="314" t="s">
        <v>575</v>
      </c>
      <c r="X43" s="328">
        <f>D30</f>
        <v>1140.8697965833801</v>
      </c>
      <c r="Y43" s="328">
        <f>D51</f>
        <v>13.444714334750103</v>
      </c>
      <c r="Z43" s="328">
        <f>D72</f>
        <v>212.77494012884492</v>
      </c>
      <c r="AA43" s="328">
        <f>D93</f>
        <v>535.18685953005138</v>
      </c>
      <c r="AB43" s="328">
        <f>D135</f>
        <v>41.804022547524887</v>
      </c>
      <c r="AC43" s="328">
        <f>D156</f>
        <v>165.01104253649848</v>
      </c>
      <c r="AD43" s="328">
        <f>D177</f>
        <v>0</v>
      </c>
      <c r="AE43" s="328">
        <f>D198</f>
        <v>0</v>
      </c>
      <c r="AF43" s="328">
        <f>D219</f>
        <v>0</v>
      </c>
      <c r="AG43" s="328">
        <f>D240</f>
        <v>8.7646759621540866</v>
      </c>
      <c r="AH43" s="328">
        <f>D261</f>
        <v>31.320360494299102</v>
      </c>
      <c r="AI43" s="328">
        <f>D282</f>
        <v>6.0054261222166909</v>
      </c>
      <c r="AJ43" s="329">
        <f>SUM(X43:AI43)</f>
        <v>2155.1818382397196</v>
      </c>
    </row>
    <row r="44" spans="1:37" s="244" customFormat="1" ht="16.5" outlineLevel="1" x14ac:dyDescent="0.35">
      <c r="A44" s="255" t="s">
        <v>524</v>
      </c>
      <c r="B44" s="265" t="s">
        <v>522</v>
      </c>
      <c r="C44" s="266">
        <f t="shared" si="59"/>
        <v>0</v>
      </c>
      <c r="D44" s="541">
        <f t="shared" si="60"/>
        <v>0</v>
      </c>
      <c r="E44" s="267">
        <f>ABS(SUMIFS(SM!F:F,SM!$C:$C,"OMA",SM!$D:$D,$E38))</f>
        <v>0</v>
      </c>
      <c r="F44" s="267">
        <f>ABS(SUMIFS(SM!G:G,SM!$C:$C,"OMA",SM!$D:$D,$E38))</f>
        <v>0</v>
      </c>
      <c r="G44" s="267">
        <f>ABS(SUMIFS(SM!H:H,SM!$C:$C,"OMA",SM!$D:$D,$E38))</f>
        <v>0</v>
      </c>
      <c r="H44" s="267"/>
      <c r="I44" s="275">
        <f>AVERAGE(E44:G44)</f>
        <v>0</v>
      </c>
      <c r="J44" s="268">
        <f t="shared" ref="J44:U44" si="65">I44</f>
        <v>0</v>
      </c>
      <c r="K44" s="268">
        <f t="shared" si="65"/>
        <v>0</v>
      </c>
      <c r="L44" s="268">
        <f t="shared" si="65"/>
        <v>0</v>
      </c>
      <c r="M44" s="268">
        <f t="shared" si="65"/>
        <v>0</v>
      </c>
      <c r="N44" s="268">
        <f t="shared" si="65"/>
        <v>0</v>
      </c>
      <c r="O44" s="268">
        <f t="shared" si="65"/>
        <v>0</v>
      </c>
      <c r="P44" s="268">
        <f t="shared" si="65"/>
        <v>0</v>
      </c>
      <c r="Q44" s="268">
        <f t="shared" si="65"/>
        <v>0</v>
      </c>
      <c r="R44" s="268">
        <f t="shared" si="65"/>
        <v>0</v>
      </c>
      <c r="S44" s="268">
        <f t="shared" si="65"/>
        <v>0</v>
      </c>
      <c r="T44" s="268">
        <f t="shared" si="65"/>
        <v>0</v>
      </c>
      <c r="U44" s="268">
        <f t="shared" si="65"/>
        <v>0</v>
      </c>
      <c r="W44" s="317" t="s">
        <v>566</v>
      </c>
      <c r="X44" s="328">
        <f>D31</f>
        <v>505.03166872036655</v>
      </c>
      <c r="Y44" s="328">
        <f>D52</f>
        <v>13.444714334750103</v>
      </c>
      <c r="Z44" s="328">
        <f>D73</f>
        <v>212.27644697815998</v>
      </c>
      <c r="AA44" s="328">
        <f>D94</f>
        <v>192.08000724642423</v>
      </c>
      <c r="AB44" s="328">
        <f>D136</f>
        <v>35.134077342045437</v>
      </c>
      <c r="AC44" s="328">
        <f>D157</f>
        <v>58.779617878964316</v>
      </c>
      <c r="AD44" s="328">
        <f>D178</f>
        <v>0</v>
      </c>
      <c r="AE44" s="328">
        <f>D199</f>
        <v>0</v>
      </c>
      <c r="AF44" s="328">
        <f>D220</f>
        <v>0</v>
      </c>
      <c r="AG44" s="328">
        <f>D241</f>
        <v>8.7646759621540866</v>
      </c>
      <c r="AH44" s="328">
        <f>D262</f>
        <v>30.499100220326497</v>
      </c>
      <c r="AI44" s="328">
        <f>D283</f>
        <v>6.0054261222166909</v>
      </c>
      <c r="AJ44" s="329">
        <f>SUM(X44:AI44)</f>
        <v>1062.0157348054079</v>
      </c>
    </row>
    <row r="45" spans="1:37" ht="16.5" outlineLevel="1" x14ac:dyDescent="0.35">
      <c r="A45" s="30" t="s">
        <v>130</v>
      </c>
      <c r="B45" s="31" t="s">
        <v>125</v>
      </c>
      <c r="C45" s="178">
        <f t="shared" si="59"/>
        <v>0</v>
      </c>
      <c r="D45" s="540">
        <f t="shared" si="60"/>
        <v>1.4938571483055667</v>
      </c>
      <c r="E45" s="64">
        <f>E40-E41-E44</f>
        <v>0</v>
      </c>
      <c r="F45" s="167">
        <f>F40-F41-F44</f>
        <v>0</v>
      </c>
      <c r="G45" s="167">
        <f>G40-G41-G44</f>
        <v>0</v>
      </c>
      <c r="H45" s="64"/>
      <c r="I45" s="47">
        <f t="shared" ref="I45:U45" si="66">I46*I40</f>
        <v>0</v>
      </c>
      <c r="J45" s="4">
        <f t="shared" si="66"/>
        <v>0</v>
      </c>
      <c r="K45" s="4">
        <f t="shared" si="66"/>
        <v>257.52777777777777</v>
      </c>
      <c r="L45" s="4">
        <f t="shared" si="66"/>
        <v>515.05555555555554</v>
      </c>
      <c r="M45" s="4">
        <f t="shared" si="66"/>
        <v>518.57431008455774</v>
      </c>
      <c r="N45" s="4">
        <f t="shared" si="66"/>
        <v>522.01974025430798</v>
      </c>
      <c r="O45" s="4">
        <f t="shared" si="66"/>
        <v>525.39347549501133</v>
      </c>
      <c r="P45" s="4">
        <f t="shared" si="66"/>
        <v>528.73217798629423</v>
      </c>
      <c r="Q45" s="4">
        <f t="shared" si="66"/>
        <v>532.04236544897901</v>
      </c>
      <c r="R45" s="4">
        <f t="shared" si="66"/>
        <v>535.33625860960808</v>
      </c>
      <c r="S45" s="4">
        <f t="shared" si="66"/>
        <v>538.62037518900331</v>
      </c>
      <c r="T45" s="4">
        <f t="shared" si="66"/>
        <v>541.92241550066001</v>
      </c>
      <c r="U45" s="4">
        <f t="shared" si="66"/>
        <v>545.25785913153186</v>
      </c>
      <c r="W45" s="317" t="s">
        <v>567</v>
      </c>
      <c r="X45" s="328">
        <f>D32</f>
        <v>635.8381278630136</v>
      </c>
      <c r="Y45" s="328">
        <f>D53</f>
        <v>0</v>
      </c>
      <c r="Z45" s="328">
        <f>D74</f>
        <v>0.49849315068493139</v>
      </c>
      <c r="AA45" s="328">
        <f>D95</f>
        <v>343.10685228362712</v>
      </c>
      <c r="AB45" s="328">
        <f>D137</f>
        <v>6.6699452054794541</v>
      </c>
      <c r="AC45" s="328">
        <f>D158</f>
        <v>106.23142465753415</v>
      </c>
      <c r="AD45" s="328">
        <f>D179</f>
        <v>0</v>
      </c>
      <c r="AE45" s="328">
        <f>D200</f>
        <v>0</v>
      </c>
      <c r="AF45" s="328">
        <f>D221</f>
        <v>0</v>
      </c>
      <c r="AG45" s="328">
        <f>D242</f>
        <v>0</v>
      </c>
      <c r="AH45" s="328">
        <f>D263</f>
        <v>0.82126027397260259</v>
      </c>
      <c r="AI45" s="328">
        <f>D284</f>
        <v>0</v>
      </c>
      <c r="AJ45" s="329">
        <f>SUM(X45:AI45)</f>
        <v>1093.1661034343119</v>
      </c>
    </row>
    <row r="46" spans="1:37" outlineLevel="1" x14ac:dyDescent="0.35">
      <c r="A46" s="30" t="s">
        <v>130</v>
      </c>
      <c r="B46" s="31" t="s">
        <v>131</v>
      </c>
      <c r="C46" s="179" t="str">
        <f>G46</f>
        <v/>
      </c>
      <c r="D46" s="54">
        <f>U46</f>
        <v>0.1</v>
      </c>
      <c r="E46" s="49" t="str">
        <f>IFERROR(E45/E40,"")</f>
        <v/>
      </c>
      <c r="F46" s="168" t="str">
        <f>IFERROR(F45/F40,"")</f>
        <v/>
      </c>
      <c r="G46" s="168" t="str">
        <f>IFERROR(G45/G40,"")</f>
        <v/>
      </c>
      <c r="H46" s="49"/>
      <c r="I46" s="186">
        <v>0</v>
      </c>
      <c r="J46" s="38">
        <v>0.1</v>
      </c>
      <c r="K46" s="38">
        <v>0.1</v>
      </c>
      <c r="L46" s="38">
        <v>0.1</v>
      </c>
      <c r="M46" s="38">
        <f t="shared" ref="M46:U46" si="67">L46</f>
        <v>0.1</v>
      </c>
      <c r="N46" s="38">
        <f t="shared" si="67"/>
        <v>0.1</v>
      </c>
      <c r="O46" s="38">
        <f t="shared" si="67"/>
        <v>0.1</v>
      </c>
      <c r="P46" s="38">
        <f t="shared" si="67"/>
        <v>0.1</v>
      </c>
      <c r="Q46" s="38">
        <f t="shared" si="67"/>
        <v>0.1</v>
      </c>
      <c r="R46" s="38">
        <f t="shared" si="67"/>
        <v>0.1</v>
      </c>
      <c r="S46" s="38">
        <f t="shared" si="67"/>
        <v>0.1</v>
      </c>
      <c r="T46" s="38">
        <f t="shared" si="67"/>
        <v>0.1</v>
      </c>
      <c r="U46" s="38">
        <f t="shared" si="67"/>
        <v>0.1</v>
      </c>
      <c r="W46" s="314" t="s">
        <v>576</v>
      </c>
      <c r="X46" s="328">
        <f>D34</f>
        <v>390.95925943951335</v>
      </c>
      <c r="Y46" s="328">
        <f>D55</f>
        <v>4.4815714449167006</v>
      </c>
      <c r="Z46" s="328">
        <f>D76</f>
        <v>72.48911398510964</v>
      </c>
      <c r="AA46" s="328">
        <f>D97</f>
        <v>181.12791208079335</v>
      </c>
      <c r="AB46" s="328">
        <f>D139</f>
        <v>13.934674182508296</v>
      </c>
      <c r="AC46" s="328">
        <f>D160</f>
        <v>55.003680845499495</v>
      </c>
      <c r="AD46" s="328">
        <f>D181</f>
        <v>0</v>
      </c>
      <c r="AE46" s="328">
        <f>D202</f>
        <v>0</v>
      </c>
      <c r="AF46" s="328">
        <f>D223</f>
        <v>0</v>
      </c>
      <c r="AG46" s="328">
        <f>D244</f>
        <v>2.9215586540513621</v>
      </c>
      <c r="AH46" s="328">
        <f>D265</f>
        <v>10.794153650306702</v>
      </c>
      <c r="AI46" s="328">
        <f>D286</f>
        <v>2.0018087074055635</v>
      </c>
      <c r="AJ46" s="329">
        <f>SUM(X46:AI46)</f>
        <v>733.7137329901044</v>
      </c>
    </row>
    <row r="47" spans="1:37" outlineLevel="1" x14ac:dyDescent="0.35">
      <c r="A47" s="30" t="s">
        <v>128</v>
      </c>
      <c r="B47" s="31" t="s">
        <v>129</v>
      </c>
      <c r="C47" s="53">
        <f>G47</f>
        <v>0</v>
      </c>
      <c r="D47" s="53">
        <f>U47</f>
        <v>100</v>
      </c>
      <c r="E47" s="46">
        <f>IFERROR(E42/E48/365*1000,0)</f>
        <v>0</v>
      </c>
      <c r="F47" s="46">
        <f>IFERROR(F42/F48/365*1000,0)</f>
        <v>0</v>
      </c>
      <c r="G47" s="46">
        <f>IFERROR(G42/G48/365*1000,0)</f>
        <v>0</v>
      </c>
      <c r="H47" s="46"/>
      <c r="I47" s="76">
        <f>G47</f>
        <v>0</v>
      </c>
      <c r="J47" s="4">
        <f t="shared" ref="J47:U47" si="68">I47</f>
        <v>0</v>
      </c>
      <c r="K47" s="4">
        <v>100</v>
      </c>
      <c r="L47" s="4">
        <v>100</v>
      </c>
      <c r="M47" s="4">
        <f t="shared" si="68"/>
        <v>100</v>
      </c>
      <c r="N47" s="4">
        <f t="shared" si="68"/>
        <v>100</v>
      </c>
      <c r="O47" s="4">
        <f t="shared" si="68"/>
        <v>100</v>
      </c>
      <c r="P47" s="4">
        <f t="shared" si="68"/>
        <v>100</v>
      </c>
      <c r="Q47" s="4">
        <f t="shared" si="68"/>
        <v>100</v>
      </c>
      <c r="R47" s="4">
        <f t="shared" si="68"/>
        <v>100</v>
      </c>
      <c r="S47" s="4">
        <f t="shared" si="68"/>
        <v>100</v>
      </c>
      <c r="T47" s="4">
        <f t="shared" si="68"/>
        <v>100</v>
      </c>
      <c r="U47" s="4">
        <f t="shared" si="68"/>
        <v>100</v>
      </c>
      <c r="W47" s="314" t="s">
        <v>577</v>
      </c>
      <c r="X47" s="353">
        <f>D35</f>
        <v>0.25</v>
      </c>
      <c r="Y47" s="353">
        <f>D56</f>
        <v>0.25</v>
      </c>
      <c r="Z47" s="353">
        <f>D77</f>
        <v>0.25</v>
      </c>
      <c r="AA47" s="353">
        <f>D98</f>
        <v>0.25</v>
      </c>
      <c r="AB47" s="353">
        <f>D140</f>
        <v>0.25</v>
      </c>
      <c r="AC47" s="353">
        <f>D161</f>
        <v>0.25</v>
      </c>
      <c r="AD47" s="353">
        <f>D182</f>
        <v>0</v>
      </c>
      <c r="AE47" s="353">
        <f>D203</f>
        <v>0</v>
      </c>
      <c r="AF47" s="353">
        <f>D224</f>
        <v>0</v>
      </c>
      <c r="AG47" s="353">
        <f>D245</f>
        <v>0.25</v>
      </c>
      <c r="AH47" s="353">
        <f>D266</f>
        <v>0.25</v>
      </c>
      <c r="AI47" s="353">
        <f>D287</f>
        <v>0.25</v>
      </c>
      <c r="AJ47" s="354">
        <f>AJ46/AJ42</f>
        <v>0.25</v>
      </c>
      <c r="AK47" s="366">
        <v>0.25</v>
      </c>
    </row>
    <row r="48" spans="1:37" outlineLevel="1" x14ac:dyDescent="0.35">
      <c r="A48" s="77" t="s">
        <v>136</v>
      </c>
      <c r="B48" s="78" t="s">
        <v>137</v>
      </c>
      <c r="C48" s="355">
        <f>G48</f>
        <v>0</v>
      </c>
      <c r="D48" s="355">
        <f>U48</f>
        <v>134.447143347501</v>
      </c>
      <c r="E48" s="213">
        <f>VLOOKUP($A38,Elanikud!$A$1:$S$20,Elanikud!B$21,FALSE)</f>
        <v>0</v>
      </c>
      <c r="F48" s="213">
        <f>VLOOKUP($A38,Elanikud!$A$1:$S$20,Elanikud!C$21,FALSE)</f>
        <v>0</v>
      </c>
      <c r="G48" s="213">
        <f>VLOOKUP($A38,Elanikud!$A$1:$S$20,Elanikud!D$21,FALSE)</f>
        <v>0</v>
      </c>
      <c r="H48" s="213">
        <f>VLOOKUP($A38,Elanikud!$A$1:$S$20,Elanikud!E$21,FALSE)</f>
        <v>0</v>
      </c>
      <c r="I48" s="62">
        <f>VLOOKUP($A38,Elanikud!$A$1:$S$20,Elanikud!E$21,FALSE)</f>
        <v>0</v>
      </c>
      <c r="J48" s="241">
        <f>VLOOKUP($A38,Elanikud!$A$1:$S$20,Elanikud!F$21,FALSE)</f>
        <v>0</v>
      </c>
      <c r="K48" s="241">
        <f>VLOOKUP($A38,Elanikud!$A$1:$S$20,Elanikud!G$21,FALSE)</f>
        <v>63.5</v>
      </c>
      <c r="L48" s="241">
        <f>VLOOKUP($A38,Elanikud!$A$1:$S$20,Elanikud!H$21,FALSE)</f>
        <v>127</v>
      </c>
      <c r="M48" s="241">
        <f>VLOOKUP($A38,Elanikud!$A$1:$S$20,Elanikud!I$21,FALSE)</f>
        <v>127.86763810304164</v>
      </c>
      <c r="N48" s="241">
        <f>VLOOKUP($A38,Elanikud!$A$1:$S$20,Elanikud!J$21,FALSE)</f>
        <v>128.7171962270896</v>
      </c>
      <c r="O48" s="241">
        <f>VLOOKUP($A38,Elanikud!$A$1:$S$20,Elanikud!K$21,FALSE)</f>
        <v>129.54907614945483</v>
      </c>
      <c r="P48" s="241">
        <f>VLOOKUP($A38,Elanikud!$A$1:$S$20,Elanikud!L$21,FALSE)</f>
        <v>130.37231785963419</v>
      </c>
      <c r="Q48" s="241">
        <f>VLOOKUP($A38,Elanikud!$A$1:$S$20,Elanikud!M$21,FALSE)</f>
        <v>131.18852846687156</v>
      </c>
      <c r="R48" s="241">
        <f>VLOOKUP($A38,Elanikud!$A$1:$S$20,Elanikud!N$21,FALSE)</f>
        <v>132.00072130099923</v>
      </c>
      <c r="S48" s="241">
        <f>VLOOKUP($A38,Elanikud!$A$1:$S$20,Elanikud!O$21,FALSE)</f>
        <v>132.81050347126106</v>
      </c>
      <c r="T48" s="241">
        <f>VLOOKUP($A38,Elanikud!$A$1:$S$20,Elanikud!P$21,FALSE)</f>
        <v>133.62470519194358</v>
      </c>
      <c r="U48" s="241">
        <f>VLOOKUP($A38,Elanikud!$A$1:$S$20,Elanikud!Q$21,FALSE)</f>
        <v>134.447143347501</v>
      </c>
      <c r="W48" s="314" t="s">
        <v>570</v>
      </c>
      <c r="X48" s="358">
        <f>D36</f>
        <v>103.35079773488418</v>
      </c>
      <c r="Y48" s="358">
        <f>D57</f>
        <v>100</v>
      </c>
      <c r="Z48" s="358">
        <f>D78</f>
        <v>75.000000000000057</v>
      </c>
      <c r="AA48" s="358">
        <f>D99</f>
        <v>76.866481176278</v>
      </c>
      <c r="AB48" s="358">
        <f>D141</f>
        <v>116.37870066815823</v>
      </c>
      <c r="AC48" s="358">
        <f>D162</f>
        <v>150.06082933125788</v>
      </c>
      <c r="AD48" s="358">
        <f>D183</f>
        <v>0</v>
      </c>
      <c r="AE48" s="358">
        <f>D204</f>
        <v>0</v>
      </c>
      <c r="AF48" s="358">
        <f>D225</f>
        <v>0</v>
      </c>
      <c r="AG48" s="358">
        <f>D246</f>
        <v>75</v>
      </c>
      <c r="AH48" s="328">
        <f>D267</f>
        <v>138.84816467919237</v>
      </c>
      <c r="AI48" s="328">
        <f>D288</f>
        <v>75</v>
      </c>
      <c r="AJ48" s="329">
        <f>AJ44*1000/AJ49</f>
        <v>92.667907041136203</v>
      </c>
    </row>
    <row r="49" spans="1:36" outlineLevel="1" x14ac:dyDescent="0.35">
      <c r="A49" s="35" t="s">
        <v>43</v>
      </c>
      <c r="B49" s="33"/>
      <c r="C49" s="33"/>
      <c r="D49" s="3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W49" s="314" t="s">
        <v>578</v>
      </c>
      <c r="X49" s="359">
        <f>D37</f>
        <v>4886.5773635910919</v>
      </c>
      <c r="Y49" s="359">
        <f>D58</f>
        <v>134.447143347501</v>
      </c>
      <c r="Z49" s="359">
        <f>D79</f>
        <v>2830.3526263754648</v>
      </c>
      <c r="AA49" s="359">
        <f>D100</f>
        <v>2498.8786309331231</v>
      </c>
      <c r="AB49" s="359">
        <f>D142</f>
        <v>301.89439425197406</v>
      </c>
      <c r="AC49" s="359">
        <f>D163</f>
        <v>391.70527139503452</v>
      </c>
      <c r="AD49" s="359">
        <f>D184</f>
        <v>0</v>
      </c>
      <c r="AE49" s="359">
        <f>D205</f>
        <v>0</v>
      </c>
      <c r="AF49" s="359">
        <f>D226</f>
        <v>0</v>
      </c>
      <c r="AG49" s="359">
        <f>D247</f>
        <v>116.86234616205448</v>
      </c>
      <c r="AH49" s="359">
        <f>D268</f>
        <v>219.65792843423202</v>
      </c>
      <c r="AI49" s="359">
        <f>D289</f>
        <v>80.072348296222529</v>
      </c>
      <c r="AJ49" s="360">
        <f>SUM(X49:AI49)</f>
        <v>11460.448052786696</v>
      </c>
    </row>
    <row r="50" spans="1:36" ht="16.5" outlineLevel="1" x14ac:dyDescent="0.35">
      <c r="A50" s="30" t="s">
        <v>132</v>
      </c>
      <c r="B50" s="31" t="s">
        <v>125</v>
      </c>
      <c r="C50" s="53">
        <f t="shared" ref="C50:C55" si="69">G50/365</f>
        <v>0</v>
      </c>
      <c r="D50" s="540">
        <f t="shared" ref="D50:D55" si="70">U50/365</f>
        <v>17.926285779666802</v>
      </c>
      <c r="E50" s="71"/>
      <c r="F50" s="71"/>
      <c r="G50" s="71"/>
      <c r="H50" s="45"/>
      <c r="I50" s="47">
        <f>(I51+I54)/(100%-I56)</f>
        <v>0</v>
      </c>
      <c r="J50" s="4">
        <f t="shared" ref="J50" si="71">(J51+J54)/(100%-J56)</f>
        <v>0</v>
      </c>
      <c r="K50" s="4">
        <f t="shared" ref="K50" si="72">(K51+K54)/(100%-K56)</f>
        <v>0</v>
      </c>
      <c r="L50" s="4">
        <f t="shared" ref="L50" si="73">(L51+L54)/(100%-L56)</f>
        <v>6180.666666666667</v>
      </c>
      <c r="M50" s="4">
        <f t="shared" ref="M50" si="74">(M51+M54)/(100%-M56)</f>
        <v>6222.8917210146938</v>
      </c>
      <c r="N50" s="4">
        <f t="shared" ref="N50" si="75">(N51+N54)/(100%-N56)</f>
        <v>6264.2368830516943</v>
      </c>
      <c r="O50" s="4">
        <f t="shared" ref="O50" si="76">(O51+O54)/(100%-O56)</f>
        <v>6304.7217059401346</v>
      </c>
      <c r="P50" s="4">
        <f t="shared" ref="P50" si="77">(P51+P54)/(100%-P56)</f>
        <v>6344.7861358355303</v>
      </c>
      <c r="Q50" s="4">
        <f t="shared" ref="Q50" si="78">(Q51+Q54)/(100%-Q56)</f>
        <v>6384.5083853877504</v>
      </c>
      <c r="R50" s="4">
        <f t="shared" ref="R50" si="79">(R51+R54)/(100%-R56)</f>
        <v>6424.0351033152956</v>
      </c>
      <c r="S50" s="4">
        <f t="shared" ref="S50" si="80">(S51+S54)/(100%-S56)</f>
        <v>6463.4445022680375</v>
      </c>
      <c r="T50" s="4">
        <f t="shared" ref="T50" si="81">(T51+T54)/(100%-T56)</f>
        <v>6503.068986007921</v>
      </c>
      <c r="U50" s="4">
        <f t="shared" ref="U50" si="82">(U51+U54)/(100%-U56)</f>
        <v>6543.0943095783832</v>
      </c>
      <c r="W50" s="320"/>
      <c r="X50" s="334"/>
      <c r="Y50" s="334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</row>
    <row r="51" spans="1:36" ht="16.5" outlineLevel="1" x14ac:dyDescent="0.35">
      <c r="A51" s="30" t="s">
        <v>133</v>
      </c>
      <c r="B51" s="31" t="s">
        <v>125</v>
      </c>
      <c r="C51" s="53">
        <f t="shared" si="69"/>
        <v>0</v>
      </c>
      <c r="D51" s="540">
        <f t="shared" si="70"/>
        <v>13.444714334750103</v>
      </c>
      <c r="E51" s="45"/>
      <c r="F51" s="45"/>
      <c r="G51" s="45"/>
      <c r="H51" s="45"/>
      <c r="I51" s="48">
        <f t="shared" ref="I51" si="83">I52+I53</f>
        <v>0</v>
      </c>
      <c r="J51" s="12">
        <f t="shared" ref="J51" si="84">J52+J53</f>
        <v>0</v>
      </c>
      <c r="K51" s="12">
        <f t="shared" ref="K51" si="85">K52+K53</f>
        <v>0</v>
      </c>
      <c r="L51" s="12">
        <f t="shared" ref="L51" si="86">L52+L53</f>
        <v>4635.5</v>
      </c>
      <c r="M51" s="12">
        <f t="shared" ref="M51" si="87">M52+M53</f>
        <v>4667.1687907610203</v>
      </c>
      <c r="N51" s="12">
        <f t="shared" ref="N51" si="88">N52+N53</f>
        <v>4698.177662288771</v>
      </c>
      <c r="O51" s="12">
        <f t="shared" ref="O51" si="89">O52+O53</f>
        <v>4728.5412794551012</v>
      </c>
      <c r="P51" s="12">
        <f t="shared" ref="P51" si="90">P52+P53</f>
        <v>4758.589601876648</v>
      </c>
      <c r="Q51" s="12">
        <f t="shared" ref="Q51" si="91">Q52+Q53</f>
        <v>4788.3812890408126</v>
      </c>
      <c r="R51" s="12">
        <f t="shared" ref="R51" si="92">R52+R53</f>
        <v>4818.0263274864719</v>
      </c>
      <c r="S51" s="12">
        <f t="shared" ref="S51" si="93">S52+S53</f>
        <v>4847.5833767010281</v>
      </c>
      <c r="T51" s="12">
        <f t="shared" ref="T51" si="94">T52+T53</f>
        <v>4877.3017395059405</v>
      </c>
      <c r="U51" s="12">
        <f t="shared" ref="U51" si="95">U52+U53</f>
        <v>4907.3207321837872</v>
      </c>
      <c r="X51" s="537"/>
      <c r="Y51" s="367"/>
      <c r="Z51" s="367"/>
      <c r="AA51" s="367"/>
      <c r="AB51" s="367"/>
      <c r="AC51" s="367"/>
      <c r="AD51" s="367"/>
      <c r="AE51" s="367"/>
      <c r="AF51" s="367"/>
      <c r="AG51" s="367"/>
      <c r="AH51" s="367"/>
      <c r="AI51" s="367"/>
    </row>
    <row r="52" spans="1:36" ht="16.5" outlineLevel="1" x14ac:dyDescent="0.35">
      <c r="A52" s="30" t="s">
        <v>134</v>
      </c>
      <c r="B52" s="31" t="s">
        <v>125</v>
      </c>
      <c r="C52" s="53">
        <f t="shared" si="69"/>
        <v>0</v>
      </c>
      <c r="D52" s="540">
        <f t="shared" si="70"/>
        <v>13.444714334750103</v>
      </c>
      <c r="E52" s="45"/>
      <c r="F52" s="45"/>
      <c r="G52" s="45"/>
      <c r="H52" s="71"/>
      <c r="I52" s="47">
        <f t="shared" ref="I52:U52" si="96">I58*I57*365/1000</f>
        <v>0</v>
      </c>
      <c r="J52" s="4">
        <f t="shared" si="96"/>
        <v>0</v>
      </c>
      <c r="K52" s="4">
        <f t="shared" si="96"/>
        <v>0</v>
      </c>
      <c r="L52" s="4">
        <f t="shared" si="96"/>
        <v>4635.5</v>
      </c>
      <c r="M52" s="4">
        <f t="shared" si="96"/>
        <v>4667.1687907610203</v>
      </c>
      <c r="N52" s="4">
        <f t="shared" si="96"/>
        <v>4698.177662288771</v>
      </c>
      <c r="O52" s="4">
        <f t="shared" si="96"/>
        <v>4728.5412794551012</v>
      </c>
      <c r="P52" s="4">
        <f t="shared" si="96"/>
        <v>4758.589601876648</v>
      </c>
      <c r="Q52" s="4">
        <f t="shared" si="96"/>
        <v>4788.3812890408126</v>
      </c>
      <c r="R52" s="4">
        <f t="shared" si="96"/>
        <v>4818.0263274864719</v>
      </c>
      <c r="S52" s="4">
        <f t="shared" si="96"/>
        <v>4847.5833767010281</v>
      </c>
      <c r="T52" s="4">
        <f t="shared" si="96"/>
        <v>4877.3017395059405</v>
      </c>
      <c r="U52" s="4">
        <f t="shared" si="96"/>
        <v>4907.3207321837872</v>
      </c>
    </row>
    <row r="53" spans="1:36" ht="16.5" outlineLevel="1" x14ac:dyDescent="0.35">
      <c r="A53" s="30" t="s">
        <v>498</v>
      </c>
      <c r="B53" s="31" t="s">
        <v>125</v>
      </c>
      <c r="C53" s="53">
        <f t="shared" si="69"/>
        <v>0</v>
      </c>
      <c r="D53" s="540">
        <f t="shared" si="70"/>
        <v>0</v>
      </c>
      <c r="E53" s="45"/>
      <c r="F53" s="45"/>
      <c r="G53" s="45"/>
      <c r="H53" s="71"/>
      <c r="I53" s="76">
        <f>IFERROR(AVERAGE(E53:G53),0)</f>
        <v>0</v>
      </c>
      <c r="J53" s="4">
        <f t="shared" ref="J53:U53" si="97">I53</f>
        <v>0</v>
      </c>
      <c r="K53" s="4">
        <f t="shared" si="97"/>
        <v>0</v>
      </c>
      <c r="L53" s="4">
        <f t="shared" si="97"/>
        <v>0</v>
      </c>
      <c r="M53" s="4">
        <f t="shared" si="97"/>
        <v>0</v>
      </c>
      <c r="N53" s="4">
        <f t="shared" si="97"/>
        <v>0</v>
      </c>
      <c r="O53" s="4">
        <f t="shared" si="97"/>
        <v>0</v>
      </c>
      <c r="P53" s="4">
        <f t="shared" si="97"/>
        <v>0</v>
      </c>
      <c r="Q53" s="4">
        <f t="shared" si="97"/>
        <v>0</v>
      </c>
      <c r="R53" s="4">
        <f t="shared" si="97"/>
        <v>0</v>
      </c>
      <c r="S53" s="4">
        <f t="shared" si="97"/>
        <v>0</v>
      </c>
      <c r="T53" s="4">
        <f t="shared" si="97"/>
        <v>0</v>
      </c>
      <c r="U53" s="4">
        <f t="shared" si="97"/>
        <v>0</v>
      </c>
    </row>
    <row r="54" spans="1:36" s="70" customFormat="1" outlineLevel="1" x14ac:dyDescent="0.35">
      <c r="A54" s="260" t="s">
        <v>525</v>
      </c>
      <c r="B54" s="261" t="s">
        <v>521</v>
      </c>
      <c r="C54" s="262">
        <f t="shared" si="69"/>
        <v>0</v>
      </c>
      <c r="D54" s="542">
        <f t="shared" si="70"/>
        <v>0</v>
      </c>
      <c r="E54" s="263"/>
      <c r="F54" s="263"/>
      <c r="G54" s="263"/>
      <c r="H54" s="263"/>
      <c r="I54" s="276">
        <f>IFERROR(AVERAGE(E54:G54),0)</f>
        <v>0</v>
      </c>
      <c r="J54" s="264">
        <f t="shared" ref="J54:U54" si="98">I54</f>
        <v>0</v>
      </c>
      <c r="K54" s="264">
        <f t="shared" si="98"/>
        <v>0</v>
      </c>
      <c r="L54" s="264">
        <f t="shared" si="98"/>
        <v>0</v>
      </c>
      <c r="M54" s="264">
        <f t="shared" si="98"/>
        <v>0</v>
      </c>
      <c r="N54" s="264">
        <f t="shared" si="98"/>
        <v>0</v>
      </c>
      <c r="O54" s="264">
        <f t="shared" si="98"/>
        <v>0</v>
      </c>
      <c r="P54" s="264">
        <f t="shared" si="98"/>
        <v>0</v>
      </c>
      <c r="Q54" s="264">
        <f t="shared" si="98"/>
        <v>0</v>
      </c>
      <c r="R54" s="264">
        <f t="shared" si="98"/>
        <v>0</v>
      </c>
      <c r="S54" s="264">
        <f t="shared" si="98"/>
        <v>0</v>
      </c>
      <c r="T54" s="264">
        <f t="shared" si="98"/>
        <v>0</v>
      </c>
      <c r="U54" s="264">
        <f t="shared" si="98"/>
        <v>0</v>
      </c>
      <c r="W54" s="318"/>
      <c r="X54" s="332"/>
      <c r="Y54" s="332"/>
      <c r="Z54" s="332"/>
      <c r="AA54" s="332"/>
      <c r="AB54" s="332"/>
      <c r="AC54" s="332"/>
      <c r="AD54" s="332"/>
      <c r="AE54" s="332"/>
      <c r="AF54" s="332"/>
      <c r="AG54" s="332"/>
      <c r="AH54" s="332"/>
      <c r="AI54" s="332"/>
      <c r="AJ54" s="332"/>
    </row>
    <row r="55" spans="1:36" ht="16.5" outlineLevel="1" x14ac:dyDescent="0.35">
      <c r="A55" s="30" t="s">
        <v>135</v>
      </c>
      <c r="B55" s="31" t="s">
        <v>125</v>
      </c>
      <c r="C55" s="53">
        <f t="shared" si="69"/>
        <v>0</v>
      </c>
      <c r="D55" s="226">
        <f t="shared" si="70"/>
        <v>4.4815714449167006</v>
      </c>
      <c r="E55" s="71"/>
      <c r="F55" s="71"/>
      <c r="G55" s="71"/>
      <c r="H55" s="45"/>
      <c r="I55" s="47">
        <f>I56*I50</f>
        <v>0</v>
      </c>
      <c r="J55" s="4">
        <f t="shared" ref="J55" si="99">J56*J50</f>
        <v>0</v>
      </c>
      <c r="K55" s="4">
        <f t="shared" ref="K55" si="100">K56*K50</f>
        <v>0</v>
      </c>
      <c r="L55" s="4">
        <f t="shared" ref="L55" si="101">L56*L50</f>
        <v>1545.1666666666667</v>
      </c>
      <c r="M55" s="4">
        <f t="shared" ref="M55" si="102">M56*M50</f>
        <v>1555.7229302536734</v>
      </c>
      <c r="N55" s="4">
        <f t="shared" ref="N55" si="103">N56*N50</f>
        <v>1566.0592207629236</v>
      </c>
      <c r="O55" s="4">
        <f t="shared" ref="O55" si="104">O56*O50</f>
        <v>1576.1804264850336</v>
      </c>
      <c r="P55" s="4">
        <f t="shared" ref="P55" si="105">P56*P50</f>
        <v>1586.1965339588826</v>
      </c>
      <c r="Q55" s="4">
        <f t="shared" ref="Q55" si="106">Q56*Q50</f>
        <v>1596.1270963469376</v>
      </c>
      <c r="R55" s="4">
        <f t="shared" ref="R55" si="107">R56*R50</f>
        <v>1606.0087758288239</v>
      </c>
      <c r="S55" s="4">
        <f t="shared" ref="S55" si="108">S56*S50</f>
        <v>1615.8611255670094</v>
      </c>
      <c r="T55" s="4">
        <f t="shared" ref="T55" si="109">T56*T50</f>
        <v>1625.7672465019803</v>
      </c>
      <c r="U55" s="4">
        <f t="shared" ref="U55" si="110">U56*U50</f>
        <v>1635.7735773945958</v>
      </c>
    </row>
    <row r="56" spans="1:36" outlineLevel="1" x14ac:dyDescent="0.35">
      <c r="A56" s="30" t="s">
        <v>135</v>
      </c>
      <c r="B56" s="31" t="s">
        <v>131</v>
      </c>
      <c r="C56" s="73" t="str">
        <f>G56</f>
        <v/>
      </c>
      <c r="D56" s="54">
        <f>U56</f>
        <v>0.25</v>
      </c>
      <c r="E56" s="50" t="str">
        <f>IFERROR(E55/E50,"")</f>
        <v/>
      </c>
      <c r="F56" s="50" t="str">
        <f>IFERROR(F55/F50,"")</f>
        <v/>
      </c>
      <c r="G56" s="50" t="str">
        <f>IFERROR(G55/G50,"")</f>
        <v/>
      </c>
      <c r="H56" s="50" t="str">
        <f>IFERROR(H55/H50,"")</f>
        <v/>
      </c>
      <c r="I56" s="186">
        <v>0</v>
      </c>
      <c r="J56" s="38">
        <v>0.25</v>
      </c>
      <c r="K56" s="38">
        <v>0.25</v>
      </c>
      <c r="L56" s="38">
        <v>0.25</v>
      </c>
      <c r="M56" s="38">
        <f t="shared" ref="M56:U56" si="111">L56</f>
        <v>0.25</v>
      </c>
      <c r="N56" s="38">
        <f t="shared" si="111"/>
        <v>0.25</v>
      </c>
      <c r="O56" s="38">
        <f t="shared" si="111"/>
        <v>0.25</v>
      </c>
      <c r="P56" s="38">
        <f t="shared" si="111"/>
        <v>0.25</v>
      </c>
      <c r="Q56" s="38">
        <f t="shared" si="111"/>
        <v>0.25</v>
      </c>
      <c r="R56" s="38">
        <f t="shared" si="111"/>
        <v>0.25</v>
      </c>
      <c r="S56" s="38">
        <f t="shared" si="111"/>
        <v>0.25</v>
      </c>
      <c r="T56" s="38">
        <f t="shared" si="111"/>
        <v>0.25</v>
      </c>
      <c r="U56" s="38">
        <f t="shared" si="111"/>
        <v>0.25</v>
      </c>
    </row>
    <row r="57" spans="1:36" s="70" customFormat="1" outlineLevel="1" x14ac:dyDescent="0.35">
      <c r="A57" s="181" t="s">
        <v>128</v>
      </c>
      <c r="B57" s="182" t="s">
        <v>129</v>
      </c>
      <c r="C57" s="211">
        <f>G57</f>
        <v>0</v>
      </c>
      <c r="D57" s="211">
        <f>U57</f>
        <v>100</v>
      </c>
      <c r="E57" s="71">
        <f>IFERROR(E52/E58/365*1000,0)</f>
        <v>0</v>
      </c>
      <c r="F57" s="71">
        <f>IFERROR(F52/F58/365*1000,0)</f>
        <v>0</v>
      </c>
      <c r="G57" s="71">
        <f>IFERROR(G52/G58/365*1000,0)</f>
        <v>0</v>
      </c>
      <c r="H57" s="71"/>
      <c r="I57" s="76">
        <f>G57</f>
        <v>0</v>
      </c>
      <c r="J57" s="4">
        <f>IF(I57=0,0,IF(I57&gt;Veehind!$B$16,I57,I57+(Veehind!$B$16-$I57)/12))</f>
        <v>0</v>
      </c>
      <c r="K57" s="4">
        <f>IF(J57=0,0,IF(J57&gt;Veehind!$B$16,J57,J57+(Veehind!$B$16-$I57)/12))</f>
        <v>0</v>
      </c>
      <c r="L57" s="4">
        <v>100</v>
      </c>
      <c r="M57" s="4">
        <f>IF(L57=0,0,IF(L57&gt;Veehind!$B$16,L57,L57+(Veehind!$B$16-$I57)/12))</f>
        <v>100</v>
      </c>
      <c r="N57" s="4">
        <f>IF(M57=0,0,IF(M57&gt;Veehind!$B$16,M57,M57+(Veehind!$B$16-$I57)/12))</f>
        <v>100</v>
      </c>
      <c r="O57" s="4">
        <f>IF(N57=0,0,IF(N57&gt;Veehind!$B$16,N57,N57+(Veehind!$B$16-$I57)/12))</f>
        <v>100</v>
      </c>
      <c r="P57" s="4">
        <f>IF(O57=0,0,IF(O57&gt;Veehind!$B$16,O57,O57+(Veehind!$B$16-$I57)/12))</f>
        <v>100</v>
      </c>
      <c r="Q57" s="4">
        <f>IF(P57=0,0,IF(P57&gt;Veehind!$B$16,P57,P57+(Veehind!$B$16-$I57)/12))</f>
        <v>100</v>
      </c>
      <c r="R57" s="4">
        <f>IF(Q57=0,0,IF(Q57&gt;Veehind!$B$16,Q57,Q57+(Veehind!$B$16-$I57)/12))</f>
        <v>100</v>
      </c>
      <c r="S57" s="4">
        <f>IF(R57=0,0,IF(R57&gt;Veehind!$B$16,R57,R57+(Veehind!$B$16-$I57)/12))</f>
        <v>100</v>
      </c>
      <c r="T57" s="4">
        <f>IF(S57=0,0,IF(S57&gt;Veehind!$B$16,S57,S57+(Veehind!$B$16-$I57)/12))</f>
        <v>100</v>
      </c>
      <c r="U57" s="4">
        <f>IF(T57=0,0,IF(T57&gt;Veehind!$B$16,T57,T57+(Veehind!$B$16-$I57)/12))</f>
        <v>100</v>
      </c>
      <c r="W57" s="321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</row>
    <row r="58" spans="1:36" s="37" customFormat="1" outlineLevel="1" x14ac:dyDescent="0.35">
      <c r="A58" s="77" t="s">
        <v>136</v>
      </c>
      <c r="B58" s="78" t="s">
        <v>137</v>
      </c>
      <c r="C58" s="355">
        <f>G58</f>
        <v>0</v>
      </c>
      <c r="D58" s="355">
        <f>U58</f>
        <v>134.447143347501</v>
      </c>
      <c r="E58" s="215">
        <f>VLOOKUP($A38,Elanikud!$A$22:$S$41,Elanikud!B$21,FALSE)</f>
        <v>0</v>
      </c>
      <c r="F58" s="215">
        <f>VLOOKUP($A38,Elanikud!$A$22:$S$41,Elanikud!C$21,FALSE)</f>
        <v>0</v>
      </c>
      <c r="G58" s="215">
        <f>VLOOKUP($A38,Elanikud!$A$22:$S$41,Elanikud!D$21,FALSE)</f>
        <v>0</v>
      </c>
      <c r="H58" s="215">
        <f>VLOOKUP($A38,Elanikud!$A$22:$S$41,Elanikud!E$21,FALSE)</f>
        <v>0</v>
      </c>
      <c r="I58" s="62">
        <f>VLOOKUP($A38,Elanikud!$A$22:$S$41,Elanikud!E$21,FALSE)</f>
        <v>0</v>
      </c>
      <c r="J58" s="241">
        <f>VLOOKUP($A38,Elanikud!$A$22:$S$41,Elanikud!F$21,FALSE)</f>
        <v>0</v>
      </c>
      <c r="K58" s="241">
        <f>VLOOKUP($A38,Elanikud!$A$22:$S$41,Elanikud!G$21,FALSE)</f>
        <v>63.5</v>
      </c>
      <c r="L58" s="241">
        <f>VLOOKUP($A38,Elanikud!$A$22:$S$41,Elanikud!H$21,FALSE)</f>
        <v>127</v>
      </c>
      <c r="M58" s="241">
        <f>VLOOKUP($A38,Elanikud!$A$22:$S$41,Elanikud!I$21,FALSE)</f>
        <v>127.86763810304164</v>
      </c>
      <c r="N58" s="241">
        <f>VLOOKUP($A38,Elanikud!$A$22:$S$41,Elanikud!J$21,FALSE)</f>
        <v>128.7171962270896</v>
      </c>
      <c r="O58" s="241">
        <f>VLOOKUP($A38,Elanikud!$A$22:$S$41,Elanikud!K$21,FALSE)</f>
        <v>129.54907614945483</v>
      </c>
      <c r="P58" s="241">
        <f>VLOOKUP($A38,Elanikud!$A$22:$S$41,Elanikud!L$21,FALSE)</f>
        <v>130.37231785963419</v>
      </c>
      <c r="Q58" s="241">
        <f>VLOOKUP($A38,Elanikud!$A$22:$S$41,Elanikud!M$21,FALSE)</f>
        <v>131.18852846687156</v>
      </c>
      <c r="R58" s="241">
        <f>VLOOKUP($A38,Elanikud!$A$22:$S$41,Elanikud!N$21,FALSE)</f>
        <v>132.00072130099923</v>
      </c>
      <c r="S58" s="241">
        <f>VLOOKUP($A38,Elanikud!$A$22:$S$41,Elanikud!O$21,FALSE)</f>
        <v>132.81050347126106</v>
      </c>
      <c r="T58" s="241">
        <f>VLOOKUP($A38,Elanikud!$A$22:$S$41,Elanikud!P$21,FALSE)</f>
        <v>133.62470519194358</v>
      </c>
      <c r="U58" s="241">
        <f>VLOOKUP($A38,Elanikud!$A$22:$S$41,Elanikud!Q$21,FALSE)</f>
        <v>134.447143347501</v>
      </c>
      <c r="V58"/>
      <c r="W58" s="318"/>
      <c r="X58" s="332"/>
      <c r="Y58" s="332"/>
      <c r="Z58" s="332"/>
      <c r="AA58" s="332"/>
      <c r="AB58" s="332"/>
      <c r="AC58" s="332"/>
      <c r="AD58" s="332"/>
      <c r="AE58" s="332"/>
      <c r="AF58" s="332"/>
      <c r="AG58" s="332"/>
      <c r="AH58" s="332"/>
      <c r="AI58" s="332"/>
      <c r="AJ58" s="332"/>
    </row>
    <row r="59" spans="1:36" x14ac:dyDescent="0.35">
      <c r="A59" s="36" t="s">
        <v>487</v>
      </c>
      <c r="B59" s="36"/>
      <c r="C59" s="36"/>
      <c r="D59" s="36"/>
      <c r="E59" s="41" t="s">
        <v>436</v>
      </c>
      <c r="F59" s="41"/>
      <c r="G59" s="41"/>
      <c r="H59" s="41"/>
      <c r="I59" s="702">
        <f>I62+I83</f>
        <v>81545.38276192185</v>
      </c>
      <c r="J59" s="702">
        <f t="shared" ref="J59:U59" si="112">J62+J83</f>
        <v>93472.942007133912</v>
      </c>
      <c r="K59" s="702">
        <f t="shared" si="112"/>
        <v>108883.38165118053</v>
      </c>
      <c r="L59" s="702">
        <f t="shared" si="112"/>
        <v>124594.79845128414</v>
      </c>
      <c r="M59" s="702">
        <f t="shared" si="112"/>
        <v>140603.61933796905</v>
      </c>
      <c r="N59" s="702">
        <f t="shared" si="112"/>
        <v>142442.5771473739</v>
      </c>
      <c r="O59" s="702">
        <f t="shared" si="112"/>
        <v>144275.78033479297</v>
      </c>
      <c r="P59" s="702">
        <f t="shared" si="112"/>
        <v>146112.34773578751</v>
      </c>
      <c r="Q59" s="702">
        <f t="shared" si="112"/>
        <v>147953.78907074031</v>
      </c>
      <c r="R59" s="702">
        <f t="shared" si="112"/>
        <v>149803.16350520292</v>
      </c>
      <c r="S59" s="702">
        <f t="shared" si="112"/>
        <v>151662.10861065838</v>
      </c>
      <c r="T59" s="702">
        <f t="shared" si="112"/>
        <v>153537.96461095015</v>
      </c>
      <c r="U59" s="702">
        <f t="shared" si="112"/>
        <v>155434.99150654161</v>
      </c>
    </row>
    <row r="60" spans="1:36" x14ac:dyDescent="0.35">
      <c r="A60" s="34" t="s">
        <v>21</v>
      </c>
      <c r="B60" s="32"/>
      <c r="C60" s="32"/>
      <c r="D60" s="32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36" ht="16.5" x14ac:dyDescent="0.35">
      <c r="A61" s="30" t="s">
        <v>124</v>
      </c>
      <c r="B61" s="31" t="s">
        <v>125</v>
      </c>
      <c r="C61" s="53">
        <f t="shared" ref="C61:C66" si="113">G61/365</f>
        <v>76.93294998611708</v>
      </c>
      <c r="D61" s="72">
        <f t="shared" ref="D61:D66" si="114">U61/365</f>
        <v>232.8772671325051</v>
      </c>
      <c r="E61" s="46"/>
      <c r="F61" s="210">
        <f>(F62+F65)*100%/(100%-F67)</f>
        <v>12771.384283279865</v>
      </c>
      <c r="G61" s="210">
        <f>(G62+G65)*100%/(100%-G67)</f>
        <v>28080.526744932737</v>
      </c>
      <c r="H61" s="46">
        <f>SUMIFS(SM!$R:$R,SM!M:M,Q!E59)</f>
        <v>21672</v>
      </c>
      <c r="I61" s="76">
        <f t="shared" ref="I61:U61" si="115">(I62+I65)/(100%-I67)</f>
        <v>42287.27016972092</v>
      </c>
      <c r="J61" s="4">
        <f t="shared" si="115"/>
        <v>47080.76777400526</v>
      </c>
      <c r="K61" s="4">
        <f t="shared" si="115"/>
        <v>55526.6159766075</v>
      </c>
      <c r="L61" s="4">
        <f t="shared" si="115"/>
        <v>64231.07373982358</v>
      </c>
      <c r="M61" s="4">
        <f t="shared" si="115"/>
        <v>73195.100547432638</v>
      </c>
      <c r="N61" s="4">
        <f t="shared" si="115"/>
        <v>74620.547356335825</v>
      </c>
      <c r="O61" s="4">
        <f t="shared" si="115"/>
        <v>76054.653735091066</v>
      </c>
      <c r="P61" s="4">
        <f t="shared" si="115"/>
        <v>77502.428215071661</v>
      </c>
      <c r="Q61" s="4">
        <f t="shared" si="115"/>
        <v>78964.799700411982</v>
      </c>
      <c r="R61" s="4">
        <f t="shared" si="115"/>
        <v>80443.578683948552</v>
      </c>
      <c r="S61" s="4">
        <f t="shared" si="115"/>
        <v>81939.823671876497</v>
      </c>
      <c r="T61" s="4">
        <f t="shared" si="115"/>
        <v>83457.818000763218</v>
      </c>
      <c r="U61" s="4">
        <f t="shared" si="115"/>
        <v>85000.202503364359</v>
      </c>
    </row>
    <row r="62" spans="1:36" ht="16.5" x14ac:dyDescent="0.35">
      <c r="A62" s="30" t="s">
        <v>126</v>
      </c>
      <c r="B62" s="31" t="s">
        <v>125</v>
      </c>
      <c r="C62" s="53">
        <f t="shared" si="113"/>
        <v>66.961369863013829</v>
      </c>
      <c r="D62" s="53">
        <f t="shared" si="114"/>
        <v>204.35575046491667</v>
      </c>
      <c r="E62" s="46"/>
      <c r="F62" s="64">
        <f>F63+F64</f>
        <v>8192.1899999999969</v>
      </c>
      <c r="G62" s="64">
        <f>G63+G64</f>
        <v>24440.900000000045</v>
      </c>
      <c r="H62" s="46"/>
      <c r="I62" s="48">
        <f t="shared" ref="I62:U62" si="116">I63+I64</f>
        <v>37662.309547856072</v>
      </c>
      <c r="J62" s="12">
        <f t="shared" si="116"/>
        <v>42007.611415303247</v>
      </c>
      <c r="K62" s="12">
        <f t="shared" si="116"/>
        <v>49720.4008486522</v>
      </c>
      <c r="L62" s="12">
        <f t="shared" si="116"/>
        <v>57622.48280851476</v>
      </c>
      <c r="M62" s="12">
        <f t="shared" si="116"/>
        <v>65712.428848255193</v>
      </c>
      <c r="N62" s="12">
        <f t="shared" si="116"/>
        <v>66806.706832615164</v>
      </c>
      <c r="O62" s="12">
        <f t="shared" si="116"/>
        <v>67900.427081785892</v>
      </c>
      <c r="P62" s="12">
        <f t="shared" si="116"/>
        <v>68998.094481048684</v>
      </c>
      <c r="Q62" s="12">
        <f t="shared" si="116"/>
        <v>70100.433783708824</v>
      </c>
      <c r="R62" s="12">
        <f t="shared" si="116"/>
        <v>71208.959977745079</v>
      </c>
      <c r="S62" s="12">
        <f t="shared" si="116"/>
        <v>72324.485167377381</v>
      </c>
      <c r="T62" s="12">
        <f t="shared" si="116"/>
        <v>73450.720792968918</v>
      </c>
      <c r="U62" s="12">
        <f t="shared" si="116"/>
        <v>74589.848919694588</v>
      </c>
    </row>
    <row r="63" spans="1:36" ht="16.5" x14ac:dyDescent="0.35">
      <c r="A63" s="30" t="s">
        <v>127</v>
      </c>
      <c r="B63" s="31" t="s">
        <v>125</v>
      </c>
      <c r="C63" s="53">
        <f t="shared" si="113"/>
        <v>66.640273972602856</v>
      </c>
      <c r="D63" s="53">
        <f t="shared" si="114"/>
        <v>204.03465457450574</v>
      </c>
      <c r="E63" s="46"/>
      <c r="F63" s="64">
        <f>ABS(SUMIFS(SM!G:G,SM!$C:$C,"ERA",SM!$D:$D,$E59))</f>
        <v>8179.9499999999971</v>
      </c>
      <c r="G63" s="64">
        <f>ABS(SUMIFS(SM!H:H,SM!$C:$C,"ERA",SM!$D:$D,$E59))</f>
        <v>24323.700000000044</v>
      </c>
      <c r="H63" s="64"/>
      <c r="I63" s="47">
        <f>G63*2*H61/G61</f>
        <v>37545.109547856075</v>
      </c>
      <c r="J63" s="4">
        <f t="shared" ref="J63:U63" si="117">J68*J69/1000*365</f>
        <v>41890.41141530325</v>
      </c>
      <c r="K63" s="4">
        <f t="shared" si="117"/>
        <v>49603.200848652203</v>
      </c>
      <c r="L63" s="4">
        <f t="shared" si="117"/>
        <v>57505.282808514763</v>
      </c>
      <c r="M63" s="4">
        <f t="shared" si="117"/>
        <v>65595.228848255196</v>
      </c>
      <c r="N63" s="4">
        <f t="shared" si="117"/>
        <v>66689.506832615167</v>
      </c>
      <c r="O63" s="4">
        <f t="shared" si="117"/>
        <v>67783.227081785895</v>
      </c>
      <c r="P63" s="4">
        <f t="shared" si="117"/>
        <v>68880.894481048686</v>
      </c>
      <c r="Q63" s="4">
        <f t="shared" si="117"/>
        <v>69983.233783708827</v>
      </c>
      <c r="R63" s="4">
        <f t="shared" si="117"/>
        <v>71091.759977745081</v>
      </c>
      <c r="S63" s="4">
        <f t="shared" si="117"/>
        <v>72207.285167377384</v>
      </c>
      <c r="T63" s="4">
        <f t="shared" si="117"/>
        <v>73333.52079296892</v>
      </c>
      <c r="U63" s="4">
        <f t="shared" si="117"/>
        <v>74472.648919694591</v>
      </c>
    </row>
    <row r="64" spans="1:36" ht="16.5" x14ac:dyDescent="0.35">
      <c r="A64" s="30" t="s">
        <v>497</v>
      </c>
      <c r="B64" s="31" t="s">
        <v>125</v>
      </c>
      <c r="C64" s="226">
        <f t="shared" si="113"/>
        <v>0.32109589041095893</v>
      </c>
      <c r="D64" s="226">
        <f t="shared" si="114"/>
        <v>0.32109589041095893</v>
      </c>
      <c r="E64" s="46"/>
      <c r="F64" s="64">
        <f>ABS(SUMIFS(SM!G:G,SM!$C:$C,"JUR",SM!$D:$D,$E59))</f>
        <v>12.24</v>
      </c>
      <c r="G64" s="64">
        <f>ABS(SUMIFS(SM!H:H,SM!$C:$C,"JUR",SM!$D:$D,$E59))</f>
        <v>117.20000000000002</v>
      </c>
      <c r="H64" s="64"/>
      <c r="I64" s="61">
        <f>G64</f>
        <v>117.20000000000002</v>
      </c>
      <c r="J64" s="4">
        <f t="shared" ref="J64:U64" si="118">I64</f>
        <v>117.20000000000002</v>
      </c>
      <c r="K64" s="4">
        <f t="shared" si="118"/>
        <v>117.20000000000002</v>
      </c>
      <c r="L64" s="4">
        <f t="shared" si="118"/>
        <v>117.20000000000002</v>
      </c>
      <c r="M64" s="4">
        <f t="shared" si="118"/>
        <v>117.20000000000002</v>
      </c>
      <c r="N64" s="4">
        <f t="shared" si="118"/>
        <v>117.20000000000002</v>
      </c>
      <c r="O64" s="4">
        <f t="shared" si="118"/>
        <v>117.20000000000002</v>
      </c>
      <c r="P64" s="4">
        <f t="shared" si="118"/>
        <v>117.20000000000002</v>
      </c>
      <c r="Q64" s="4">
        <f t="shared" si="118"/>
        <v>117.20000000000002</v>
      </c>
      <c r="R64" s="4">
        <f t="shared" si="118"/>
        <v>117.20000000000002</v>
      </c>
      <c r="S64" s="4">
        <f t="shared" si="118"/>
        <v>117.20000000000002</v>
      </c>
      <c r="T64" s="4">
        <f t="shared" si="118"/>
        <v>117.20000000000002</v>
      </c>
      <c r="U64" s="4">
        <f t="shared" si="118"/>
        <v>117.20000000000002</v>
      </c>
    </row>
    <row r="65" spans="1:36" s="243" customFormat="1" ht="16.5" x14ac:dyDescent="0.35">
      <c r="A65" s="255" t="s">
        <v>524</v>
      </c>
      <c r="B65" s="256" t="s">
        <v>520</v>
      </c>
      <c r="C65" s="257">
        <f t="shared" si="113"/>
        <v>5.0328767123287674</v>
      </c>
      <c r="D65" s="257">
        <f t="shared" si="114"/>
        <v>5.2337899543378992</v>
      </c>
      <c r="E65" s="258">
        <f>ABS(SUMIFS(SM!F:F,SM!$C:$C,"OMA",SM!$D:$D,$E59))</f>
        <v>0</v>
      </c>
      <c r="F65" s="258">
        <f>ABS(SUMIFS(SM!G:G,SM!$C:$C,"OMA",SM!$D:$D,$E59))</f>
        <v>3894</v>
      </c>
      <c r="G65" s="258">
        <f>ABS(SUMIFS(SM!H:H,SM!$C:$C,"OMA",SM!$D:$D,$E59))</f>
        <v>1837</v>
      </c>
      <c r="H65" s="258"/>
      <c r="I65" s="275">
        <f>AVERAGE(E65:G65)</f>
        <v>1910.3333333333333</v>
      </c>
      <c r="J65" s="259">
        <f t="shared" ref="J65:U65" si="119">I65</f>
        <v>1910.3333333333333</v>
      </c>
      <c r="K65" s="259">
        <f t="shared" si="119"/>
        <v>1910.3333333333333</v>
      </c>
      <c r="L65" s="259">
        <f t="shared" si="119"/>
        <v>1910.3333333333333</v>
      </c>
      <c r="M65" s="259">
        <f t="shared" si="119"/>
        <v>1910.3333333333333</v>
      </c>
      <c r="N65" s="259">
        <f t="shared" si="119"/>
        <v>1910.3333333333333</v>
      </c>
      <c r="O65" s="259">
        <f t="shared" si="119"/>
        <v>1910.3333333333333</v>
      </c>
      <c r="P65" s="259">
        <f t="shared" si="119"/>
        <v>1910.3333333333333</v>
      </c>
      <c r="Q65" s="259">
        <f t="shared" si="119"/>
        <v>1910.3333333333333</v>
      </c>
      <c r="R65" s="259">
        <f t="shared" si="119"/>
        <v>1910.3333333333333</v>
      </c>
      <c r="S65" s="259">
        <f t="shared" si="119"/>
        <v>1910.3333333333333</v>
      </c>
      <c r="T65" s="259">
        <f t="shared" si="119"/>
        <v>1910.3333333333333</v>
      </c>
      <c r="U65" s="259">
        <f t="shared" si="119"/>
        <v>1910.3333333333333</v>
      </c>
      <c r="W65" s="318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</row>
    <row r="66" spans="1:36" ht="16.5" x14ac:dyDescent="0.35">
      <c r="A66" s="30" t="s">
        <v>130</v>
      </c>
      <c r="B66" s="31" t="s">
        <v>125</v>
      </c>
      <c r="C66" s="225">
        <f t="shared" si="113"/>
        <v>4.9387034107744974</v>
      </c>
      <c r="D66" s="53">
        <f t="shared" si="114"/>
        <v>23.287726713250525</v>
      </c>
      <c r="E66" s="64"/>
      <c r="F66" s="210">
        <f>F61-F62-F65</f>
        <v>685.19428327986861</v>
      </c>
      <c r="G66" s="210">
        <f>G61-G62-G65</f>
        <v>1802.6267449326915</v>
      </c>
      <c r="H66" s="64"/>
      <c r="I66" s="47">
        <f t="shared" ref="I66:U66" si="120">I67*I61</f>
        <v>2714.6272885315129</v>
      </c>
      <c r="J66" s="4">
        <f t="shared" si="120"/>
        <v>3162.8230253686775</v>
      </c>
      <c r="K66" s="4">
        <f t="shared" si="120"/>
        <v>3895.8817946219656</v>
      </c>
      <c r="L66" s="4">
        <f t="shared" si="120"/>
        <v>4698.2575979754856</v>
      </c>
      <c r="M66" s="4">
        <f t="shared" si="120"/>
        <v>5572.3383658441198</v>
      </c>
      <c r="N66" s="4">
        <f t="shared" si="120"/>
        <v>5903.5071903873222</v>
      </c>
      <c r="O66" s="4">
        <f t="shared" si="120"/>
        <v>6243.8933199718485</v>
      </c>
      <c r="P66" s="4">
        <f t="shared" si="120"/>
        <v>6594.000400689657</v>
      </c>
      <c r="Q66" s="4">
        <f t="shared" si="120"/>
        <v>6954.0325833698353</v>
      </c>
      <c r="R66" s="4">
        <f t="shared" si="120"/>
        <v>7324.2853728701457</v>
      </c>
      <c r="S66" s="4">
        <f t="shared" si="120"/>
        <v>7705.0051711657807</v>
      </c>
      <c r="T66" s="4">
        <f t="shared" si="120"/>
        <v>8096.7638744609731</v>
      </c>
      <c r="U66" s="4">
        <f t="shared" si="120"/>
        <v>8500.0202503364417</v>
      </c>
    </row>
    <row r="67" spans="1:36" x14ac:dyDescent="0.35">
      <c r="A67" s="30" t="s">
        <v>130</v>
      </c>
      <c r="B67" s="31" t="s">
        <v>131</v>
      </c>
      <c r="C67" s="74">
        <f>G67</f>
        <v>6.4194904935605784E-2</v>
      </c>
      <c r="D67" s="54">
        <f>U67</f>
        <v>0.10000000000000006</v>
      </c>
      <c r="E67" s="49"/>
      <c r="F67" s="223">
        <f>AD$80</f>
        <v>5.365074514098811E-2</v>
      </c>
      <c r="G67" s="223">
        <f>AE$80</f>
        <v>6.4194904935605784E-2</v>
      </c>
      <c r="H67" s="49"/>
      <c r="I67" s="75">
        <f>G67</f>
        <v>6.4194904935605784E-2</v>
      </c>
      <c r="J67" s="363">
        <f>I67+(10%-$I67)/12</f>
        <v>6.7178662857638641E-2</v>
      </c>
      <c r="K67" s="363">
        <f t="shared" ref="K67:U67" si="121">J67+(10%-$I67)/12</f>
        <v>7.0162420779671497E-2</v>
      </c>
      <c r="L67" s="363">
        <f t="shared" si="121"/>
        <v>7.3146178701704354E-2</v>
      </c>
      <c r="M67" s="363">
        <f t="shared" si="121"/>
        <v>7.612993662373721E-2</v>
      </c>
      <c r="N67" s="363">
        <f t="shared" si="121"/>
        <v>7.9113694545770066E-2</v>
      </c>
      <c r="O67" s="363">
        <f t="shared" si="121"/>
        <v>8.2097452467802923E-2</v>
      </c>
      <c r="P67" s="363">
        <f t="shared" si="121"/>
        <v>8.5081210389835779E-2</v>
      </c>
      <c r="Q67" s="363">
        <f t="shared" si="121"/>
        <v>8.8064968311868635E-2</v>
      </c>
      <c r="R67" s="363">
        <f t="shared" si="121"/>
        <v>9.1048726233901492E-2</v>
      </c>
      <c r="S67" s="363">
        <f t="shared" si="121"/>
        <v>9.4032484155934348E-2</v>
      </c>
      <c r="T67" s="363">
        <f t="shared" si="121"/>
        <v>9.7016242077967205E-2</v>
      </c>
      <c r="U67" s="363">
        <f t="shared" si="121"/>
        <v>0.10000000000000006</v>
      </c>
      <c r="W67" s="319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</row>
    <row r="68" spans="1:36" x14ac:dyDescent="0.35">
      <c r="A68" s="30" t="s">
        <v>128</v>
      </c>
      <c r="B68" s="31" t="s">
        <v>129</v>
      </c>
      <c r="C68" s="53">
        <f>G68</f>
        <v>66.688289541072436</v>
      </c>
      <c r="D68" s="53">
        <f>U68</f>
        <v>74.999999999999943</v>
      </c>
      <c r="E68" s="46"/>
      <c r="F68" s="210">
        <f>G68</f>
        <v>66.688289541072436</v>
      </c>
      <c r="G68" s="46">
        <f>G63/G69/365*1000</f>
        <v>66.688289541072436</v>
      </c>
      <c r="H68" s="46"/>
      <c r="I68" s="76">
        <f>G68</f>
        <v>66.688289541072436</v>
      </c>
      <c r="J68" s="4">
        <f>IF(I68&gt;Veehind!$B$16,I68,I68+(Veehind!$B$16-$I68)/12)</f>
        <v>67.380932079316395</v>
      </c>
      <c r="K68" s="4">
        <f>IF(J68&gt;Veehind!$B$16,J68,J68+(Veehind!$B$16-$I68)/12)</f>
        <v>68.073574617560354</v>
      </c>
      <c r="L68" s="4">
        <f>IF(K68&gt;Veehind!$B$16,K68,K68+(Veehind!$B$16-$I68)/12)</f>
        <v>68.766217155804313</v>
      </c>
      <c r="M68" s="4">
        <f>IF(L68&gt;Veehind!$B$16,L68,L68+(Veehind!$B$16-$I68)/12)</f>
        <v>69.458859694048272</v>
      </c>
      <c r="N68" s="4">
        <f>IF(M68&gt;Veehind!$B$16,M68,M68+(Veehind!$B$16-$I68)/12)</f>
        <v>70.151502232292231</v>
      </c>
      <c r="O68" s="4">
        <f>IF(N68&gt;Veehind!$B$16,N68,N68+(Veehind!$B$16-$I68)/12)</f>
        <v>70.84414477053619</v>
      </c>
      <c r="P68" s="4">
        <f>IF(O68&gt;Veehind!$B$16,O68,O68+(Veehind!$B$16-$I68)/12)</f>
        <v>71.536787308780148</v>
      </c>
      <c r="Q68" s="4">
        <f>IF(P68&gt;Veehind!$B$16,P68,P68+(Veehind!$B$16-$I68)/12)</f>
        <v>72.229429847024107</v>
      </c>
      <c r="R68" s="4">
        <f>IF(Q68&gt;Veehind!$B$16,Q68,Q68+(Veehind!$B$16-$I68)/12)</f>
        <v>72.922072385268066</v>
      </c>
      <c r="S68" s="4">
        <f>IF(R68&gt;Veehind!$B$16,R68,R68+(Veehind!$B$16-$I68)/12)</f>
        <v>73.614714923512025</v>
      </c>
      <c r="T68" s="4">
        <f>IF(S68&gt;Veehind!$B$16,S68,S68+(Veehind!$B$16-$I68)/12)</f>
        <v>74.307357461755984</v>
      </c>
      <c r="U68" s="4">
        <f>IF(T68&gt;Veehind!$B$16,T68,T68+(Veehind!$B$16-$I68)/12)</f>
        <v>74.999999999999943</v>
      </c>
    </row>
    <row r="69" spans="1:36" s="7" customFormat="1" x14ac:dyDescent="0.35">
      <c r="A69" s="77" t="s">
        <v>136</v>
      </c>
      <c r="B69" s="78" t="s">
        <v>137</v>
      </c>
      <c r="C69" s="355">
        <f>G69</f>
        <v>999.28</v>
      </c>
      <c r="D69" s="355">
        <f>U69</f>
        <v>2720.4620609934118</v>
      </c>
      <c r="E69" s="213">
        <f>VLOOKUP($A59,Elanikud!$A$1:$S$20,Elanikud!B$21,FALSE)</f>
        <v>0</v>
      </c>
      <c r="F69" s="213">
        <f>F63*1000/365/F68</f>
        <v>336.05333218219192</v>
      </c>
      <c r="G69" s="213">
        <f>VLOOKUP($A59,Elanikud!$A$1:$S$20,Elanikud!D$21,FALSE)</f>
        <v>999.28</v>
      </c>
      <c r="H69" s="213">
        <f>VLOOKUP($A59,Elanikud!$A$1:$S$20,Elanikud!E$21,FALSE)</f>
        <v>1412</v>
      </c>
      <c r="I69" s="62">
        <f>VLOOKUP($A59,Elanikud!$A$1:$S$20,Elanikud!E$21,FALSE)</f>
        <v>1412</v>
      </c>
      <c r="J69" s="241">
        <f>VLOOKUP($A59,Elanikud!$A$1:$S$20,Elanikud!F$21,FALSE)</f>
        <v>1703.2749015372478</v>
      </c>
      <c r="K69" s="241">
        <f>VLOOKUP($A59,Elanikud!$A$1:$S$20,Elanikud!G$21,FALSE)</f>
        <v>1996.357340873496</v>
      </c>
      <c r="L69" s="241">
        <f>VLOOKUP($A59,Elanikud!$A$1:$S$20,Elanikud!H$21,FALSE)</f>
        <v>2291.0773129539521</v>
      </c>
      <c r="M69" s="241">
        <f>VLOOKUP($A59,Elanikud!$A$1:$S$20,Elanikud!I$21,FALSE)</f>
        <v>2587.3294859754728</v>
      </c>
      <c r="N69" s="241">
        <f>VLOOKUP($A59,Elanikud!$A$1:$S$20,Elanikud!J$21,FALSE)</f>
        <v>2604.5198151080713</v>
      </c>
      <c r="O69" s="241">
        <f>VLOOKUP($A59,Elanikud!$A$1:$S$20,Elanikud!K$21,FALSE)</f>
        <v>2621.3524358075488</v>
      </c>
      <c r="P69" s="241">
        <f>VLOOKUP($A59,Elanikud!$A$1:$S$20,Elanikud!L$21,FALSE)</f>
        <v>2638.0102671590239</v>
      </c>
      <c r="Q69" s="241">
        <f>VLOOKUP($A59,Elanikud!$A$1:$S$20,Elanikud!M$21,FALSE)</f>
        <v>2654.5258281109623</v>
      </c>
      <c r="R69" s="241">
        <f>VLOOKUP($A59,Elanikud!$A$1:$S$20,Elanikud!N$21,FALSE)</f>
        <v>2670.960091691737</v>
      </c>
      <c r="S69" s="241">
        <f>VLOOKUP($A59,Elanikud!$A$1:$S$20,Elanikud!O$21,FALSE)</f>
        <v>2687.3455768498129</v>
      </c>
      <c r="T69" s="241">
        <f>VLOOKUP($A59,Elanikud!$A$1:$S$20,Elanikud!P$21,FALSE)</f>
        <v>2703.8204891161695</v>
      </c>
      <c r="U69" s="241">
        <f>VLOOKUP($A59,Elanikud!$A$1:$S$20,Elanikud!Q$21,FALSE)</f>
        <v>2720.4620609934118</v>
      </c>
      <c r="W69" s="318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</row>
    <row r="70" spans="1:36" x14ac:dyDescent="0.35">
      <c r="A70" s="35" t="s">
        <v>43</v>
      </c>
      <c r="B70" s="33"/>
      <c r="C70" s="33"/>
      <c r="D70" s="33"/>
      <c r="E70" s="44"/>
      <c r="F70" s="44"/>
      <c r="G70" s="44"/>
      <c r="H70" s="44"/>
      <c r="I70" s="703">
        <f>I73+I94</f>
        <v>72018.77322827201</v>
      </c>
      <c r="J70" s="703">
        <f t="shared" ref="J70:U70" si="122">J73+J94</f>
        <v>88198.47864917462</v>
      </c>
      <c r="K70" s="703">
        <f t="shared" si="122"/>
        <v>104554.3173003705</v>
      </c>
      <c r="L70" s="703">
        <f t="shared" si="122"/>
        <v>121077.74931822286</v>
      </c>
      <c r="M70" s="703">
        <f t="shared" si="122"/>
        <v>137763.51771547191</v>
      </c>
      <c r="N70" s="703">
        <f t="shared" si="122"/>
        <v>139006.47445541999</v>
      </c>
      <c r="O70" s="703">
        <f t="shared" si="122"/>
        <v>140234.61995466088</v>
      </c>
      <c r="P70" s="703">
        <f t="shared" si="122"/>
        <v>141457.6278560615</v>
      </c>
      <c r="Q70" s="703">
        <f t="shared" si="122"/>
        <v>142677.1800434303</v>
      </c>
      <c r="R70" s="703">
        <f t="shared" si="122"/>
        <v>143896.50771210334</v>
      </c>
      <c r="S70" s="703">
        <f t="shared" si="122"/>
        <v>145117.33621171032</v>
      </c>
      <c r="T70" s="703">
        <f t="shared" si="122"/>
        <v>146347.12765291618</v>
      </c>
      <c r="U70" s="703">
        <f t="shared" si="122"/>
        <v>147590.10579197324</v>
      </c>
      <c r="W70" s="319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</row>
    <row r="71" spans="1:36" ht="16.5" x14ac:dyDescent="0.35">
      <c r="A71" s="30" t="s">
        <v>132</v>
      </c>
      <c r="B71" s="31" t="s">
        <v>125</v>
      </c>
      <c r="C71" s="53">
        <f t="shared" ref="C71:C76" si="123">G71/365</f>
        <v>113.21643835616439</v>
      </c>
      <c r="D71" s="53">
        <f t="shared" ref="D71:D76" si="124">U71/365</f>
        <v>289.95645594043856</v>
      </c>
      <c r="E71" s="214">
        <f>SM!U21</f>
        <v>0</v>
      </c>
      <c r="F71" s="214">
        <f>SM!V21</f>
        <v>20313</v>
      </c>
      <c r="G71" s="214">
        <f>SM!W21</f>
        <v>41324</v>
      </c>
      <c r="H71" s="214">
        <f>SM!X21</f>
        <v>33810</v>
      </c>
      <c r="I71" s="47">
        <f>(I72+I75)/(100%-I77)</f>
        <v>52127.498998567869</v>
      </c>
      <c r="J71" s="4">
        <f t="shared" ref="J71" si="125">(J72+J75)/(100%-J77)</f>
        <v>63174.397573766037</v>
      </c>
      <c r="K71" s="4">
        <f t="shared" ref="K71" si="126">(K72+K75)/(100%-K77)</f>
        <v>74389.75378851917</v>
      </c>
      <c r="L71" s="4">
        <f t="shared" ref="L71" si="127">(L72+L75)/(100%-L77)</f>
        <v>85768.206804779678</v>
      </c>
      <c r="M71" s="4">
        <f t="shared" ref="M71" si="128">(M72+M75)/(100%-M77)</f>
        <v>97306.613180976434</v>
      </c>
      <c r="N71" s="4">
        <f t="shared" ref="N71" si="129">(N72+N75)/(100%-N77)</f>
        <v>98373.204731481572</v>
      </c>
      <c r="O71" s="4">
        <f t="shared" ref="O71" si="130">(O72+O75)/(100%-O77)</f>
        <v>99432.339330408446</v>
      </c>
      <c r="P71" s="4">
        <f t="shared" ref="P71" si="131">(P72+P75)/(100%-P77)</f>
        <v>100490.62980891205</v>
      </c>
      <c r="Q71" s="4">
        <f t="shared" ref="Q71" si="132">(Q72+Q75)/(100%-Q77)</f>
        <v>101549.20128152198</v>
      </c>
      <c r="R71" s="4">
        <f t="shared" ref="R71" si="133">(R72+R75)/(100%-R77)</f>
        <v>102610.26688890833</v>
      </c>
      <c r="S71" s="4">
        <f t="shared" ref="S71" si="134">(S72+S75)/(100%-S77)</f>
        <v>103675.00970002904</v>
      </c>
      <c r="T71" s="4">
        <f t="shared" ref="T71" si="135">(T72+T75)/(100%-T77)</f>
        <v>104748.63025760713</v>
      </c>
      <c r="U71" s="4">
        <f t="shared" ref="U71" si="136">(U72+U75)/(100%-U77)</f>
        <v>105834.10641826008</v>
      </c>
      <c r="Z71" s="337"/>
      <c r="AA71" s="337"/>
      <c r="AB71" s="337"/>
      <c r="AC71" s="337"/>
      <c r="AD71" s="337"/>
      <c r="AE71" s="337"/>
      <c r="AF71" s="337"/>
      <c r="AG71" s="337"/>
      <c r="AH71" s="337"/>
      <c r="AI71" s="337"/>
      <c r="AJ71" s="337"/>
    </row>
    <row r="72" spans="1:36" ht="16.5" x14ac:dyDescent="0.35">
      <c r="A72" s="30" t="s">
        <v>133</v>
      </c>
      <c r="B72" s="31" t="s">
        <v>125</v>
      </c>
      <c r="C72" s="53">
        <f t="shared" si="123"/>
        <v>71.472027397260305</v>
      </c>
      <c r="D72" s="53">
        <f t="shared" si="124"/>
        <v>212.77494012884492</v>
      </c>
      <c r="E72" s="45"/>
      <c r="F72" s="45">
        <f>F73+F74</f>
        <v>8604.2800000000061</v>
      </c>
      <c r="G72" s="45">
        <f>G73+G74</f>
        <v>26087.290000000012</v>
      </c>
      <c r="H72" s="45"/>
      <c r="I72" s="48">
        <f t="shared" ref="I72" si="137">I73+I74</f>
        <v>37382.897582259233</v>
      </c>
      <c r="J72" s="12">
        <f t="shared" ref="J72" si="138">J73+J74</f>
        <v>45668.071513657858</v>
      </c>
      <c r="K72" s="12">
        <f t="shared" ref="K72" si="139">K73+K74</f>
        <v>54079.588674722712</v>
      </c>
      <c r="L72" s="12">
        <f t="shared" ref="L72" si="140">L73+L74</f>
        <v>62613.42843691809</v>
      </c>
      <c r="M72" s="12">
        <f t="shared" ref="M72" si="141">M73+M74</f>
        <v>71267.23321906566</v>
      </c>
      <c r="N72" s="12">
        <f t="shared" ref="N72" si="142">N73+N74</f>
        <v>72067.176881944513</v>
      </c>
      <c r="O72" s="12">
        <f t="shared" ref="O72" si="143">O73+O74</f>
        <v>72861.527831139669</v>
      </c>
      <c r="P72" s="12">
        <f t="shared" ref="P72" si="144">P73+P74</f>
        <v>73655.245690017371</v>
      </c>
      <c r="Q72" s="12">
        <f t="shared" ref="Q72" si="145">Q73+Q74</f>
        <v>74449.174294474811</v>
      </c>
      <c r="R72" s="12">
        <f t="shared" ref="R72" si="146">R73+R74</f>
        <v>75244.973500014574</v>
      </c>
      <c r="S72" s="12">
        <f t="shared" ref="S72" si="147">S73+S74</f>
        <v>76043.530608355111</v>
      </c>
      <c r="T72" s="12">
        <f t="shared" ref="T72" si="148">T73+T74</f>
        <v>76848.746026538676</v>
      </c>
      <c r="U72" s="12">
        <f t="shared" ref="U72" si="149">U73+U74</f>
        <v>77662.853147028392</v>
      </c>
      <c r="W72" s="322" t="s">
        <v>528</v>
      </c>
      <c r="X72" s="338"/>
      <c r="Y72" s="338"/>
      <c r="Z72" s="338"/>
      <c r="AA72" s="338"/>
      <c r="AB72" s="338"/>
      <c r="AC72" s="338"/>
    </row>
    <row r="73" spans="1:36" ht="17" x14ac:dyDescent="0.35">
      <c r="A73" s="30" t="s">
        <v>134</v>
      </c>
      <c r="B73" s="31" t="s">
        <v>125</v>
      </c>
      <c r="C73" s="53">
        <f t="shared" si="123"/>
        <v>70.973534246575369</v>
      </c>
      <c r="D73" s="53">
        <f t="shared" si="124"/>
        <v>212.27644697815998</v>
      </c>
      <c r="E73" s="45"/>
      <c r="F73" s="45">
        <f>ABS(SUMIFS(SM!J:J,SM!$C:$C,"era",SM!$D:$D,$E59))</f>
        <v>8592.0400000000063</v>
      </c>
      <c r="G73" s="45">
        <f>ABS(SUMIFS(SM!K:K,SM!$C:$C,"era",SM!$D:$D,$E59))</f>
        <v>25905.340000000011</v>
      </c>
      <c r="H73" s="71"/>
      <c r="I73" s="47">
        <f t="shared" ref="I73:U73" si="150">I79*I78*365/1000</f>
        <v>37200.947582259236</v>
      </c>
      <c r="J73" s="4">
        <f t="shared" si="150"/>
        <v>45486.121513657861</v>
      </c>
      <c r="K73" s="4">
        <f t="shared" si="150"/>
        <v>53897.638674722715</v>
      </c>
      <c r="L73" s="4">
        <f t="shared" si="150"/>
        <v>62431.478436918092</v>
      </c>
      <c r="M73" s="4">
        <f t="shared" si="150"/>
        <v>71085.283219065663</v>
      </c>
      <c r="N73" s="4">
        <f t="shared" si="150"/>
        <v>71885.226881944516</v>
      </c>
      <c r="O73" s="4">
        <f t="shared" si="150"/>
        <v>72679.577831139672</v>
      </c>
      <c r="P73" s="4">
        <f t="shared" si="150"/>
        <v>73473.295690017374</v>
      </c>
      <c r="Q73" s="4">
        <f t="shared" si="150"/>
        <v>74267.224294474814</v>
      </c>
      <c r="R73" s="4">
        <f t="shared" si="150"/>
        <v>75063.023500014577</v>
      </c>
      <c r="S73" s="4">
        <f t="shared" si="150"/>
        <v>75861.580608355114</v>
      </c>
      <c r="T73" s="4">
        <f t="shared" si="150"/>
        <v>76666.796026538679</v>
      </c>
      <c r="U73" s="4">
        <f t="shared" si="150"/>
        <v>77480.903147028395</v>
      </c>
      <c r="W73" s="323"/>
      <c r="X73" s="998" t="s">
        <v>510</v>
      </c>
      <c r="Y73" s="998"/>
      <c r="Z73" s="998" t="s">
        <v>441</v>
      </c>
      <c r="AA73" s="998"/>
      <c r="AB73" s="998" t="s">
        <v>511</v>
      </c>
      <c r="AC73" s="998"/>
      <c r="AD73" s="999" t="s">
        <v>12</v>
      </c>
      <c r="AE73" s="999"/>
      <c r="AF73" s="1000" t="s">
        <v>278</v>
      </c>
      <c r="AG73" s="1000"/>
    </row>
    <row r="74" spans="1:36" ht="17" thickBot="1" x14ac:dyDescent="0.4">
      <c r="A74" s="30" t="s">
        <v>498</v>
      </c>
      <c r="B74" s="31" t="s">
        <v>125</v>
      </c>
      <c r="C74" s="226">
        <f t="shared" si="123"/>
        <v>0.49849315068493139</v>
      </c>
      <c r="D74" s="226">
        <f t="shared" si="124"/>
        <v>0.49849315068493139</v>
      </c>
      <c r="E74" s="45"/>
      <c r="F74" s="45">
        <f>ABS(SUMIFS(SM!J:J,SM!$C:$C,"jur",SM!$D:$D,$E59))</f>
        <v>12.24</v>
      </c>
      <c r="G74" s="45">
        <f>ABS(SUMIFS(SM!K:K,SM!$C:$C,"jur",SM!$D:$D,$E59))</f>
        <v>181.94999999999996</v>
      </c>
      <c r="H74" s="71"/>
      <c r="I74" s="76">
        <f>G74</f>
        <v>181.94999999999996</v>
      </c>
      <c r="J74" s="4">
        <f t="shared" ref="J74:U74" si="151">I74</f>
        <v>181.94999999999996</v>
      </c>
      <c r="K74" s="4">
        <f t="shared" si="151"/>
        <v>181.94999999999996</v>
      </c>
      <c r="L74" s="4">
        <f t="shared" si="151"/>
        <v>181.94999999999996</v>
      </c>
      <c r="M74" s="4">
        <f t="shared" si="151"/>
        <v>181.94999999999996</v>
      </c>
      <c r="N74" s="4">
        <f t="shared" si="151"/>
        <v>181.94999999999996</v>
      </c>
      <c r="O74" s="4">
        <f t="shared" si="151"/>
        <v>181.94999999999996</v>
      </c>
      <c r="P74" s="4">
        <f t="shared" si="151"/>
        <v>181.94999999999996</v>
      </c>
      <c r="Q74" s="4">
        <f t="shared" si="151"/>
        <v>181.94999999999996</v>
      </c>
      <c r="R74" s="4">
        <f t="shared" si="151"/>
        <v>181.94999999999996</v>
      </c>
      <c r="S74" s="4">
        <f t="shared" si="151"/>
        <v>181.94999999999996</v>
      </c>
      <c r="T74" s="4">
        <f t="shared" si="151"/>
        <v>181.94999999999996</v>
      </c>
      <c r="U74" s="4">
        <f t="shared" si="151"/>
        <v>181.94999999999996</v>
      </c>
      <c r="W74" s="324"/>
      <c r="X74" s="339">
        <v>2021</v>
      </c>
      <c r="Y74" s="339">
        <v>2022</v>
      </c>
      <c r="Z74" s="339">
        <v>2021</v>
      </c>
      <c r="AA74" s="339">
        <v>2022</v>
      </c>
      <c r="AB74" s="339">
        <v>2021</v>
      </c>
      <c r="AC74" s="339">
        <v>2022</v>
      </c>
      <c r="AD74" s="340">
        <v>2021</v>
      </c>
      <c r="AE74" s="340">
        <v>2022</v>
      </c>
      <c r="AF74" s="341">
        <v>2021</v>
      </c>
      <c r="AG74" s="341">
        <v>2022</v>
      </c>
    </row>
    <row r="75" spans="1:36" s="70" customFormat="1" ht="15" thickTop="1" x14ac:dyDescent="0.35">
      <c r="A75" s="260" t="s">
        <v>525</v>
      </c>
      <c r="B75" s="256" t="s">
        <v>521</v>
      </c>
      <c r="C75" s="269">
        <f t="shared" si="123"/>
        <v>4.5838630136986307</v>
      </c>
      <c r="D75" s="269">
        <f t="shared" si="124"/>
        <v>4.6924018264840184</v>
      </c>
      <c r="E75" s="270">
        <f>ABS(SUMIFS(SM!I:I,SM!$C:$C,"OMA",SM!$D:$D,$E59))</f>
        <v>0</v>
      </c>
      <c r="F75" s="270">
        <f>ABS(SUMIFS(SM!J:J,SM!$C:$C,"OMA",SM!$D:$D,$E59))</f>
        <v>3465.0699999999997</v>
      </c>
      <c r="G75" s="270">
        <f>ABS(SUMIFS(SM!K:K,SM!$C:$C,"OMA",SM!$D:$D,$E59))</f>
        <v>1673.1100000000001</v>
      </c>
      <c r="H75" s="270"/>
      <c r="I75" s="276">
        <f>IFERROR(AVERAGE(E75:G75),0)</f>
        <v>1712.7266666666667</v>
      </c>
      <c r="J75" s="264">
        <f t="shared" ref="J75:U75" si="152">I75</f>
        <v>1712.7266666666667</v>
      </c>
      <c r="K75" s="264">
        <f t="shared" si="152"/>
        <v>1712.7266666666667</v>
      </c>
      <c r="L75" s="264">
        <f t="shared" si="152"/>
        <v>1712.7266666666667</v>
      </c>
      <c r="M75" s="264">
        <f t="shared" si="152"/>
        <v>1712.7266666666667</v>
      </c>
      <c r="N75" s="264">
        <f t="shared" si="152"/>
        <v>1712.7266666666667</v>
      </c>
      <c r="O75" s="264">
        <f t="shared" si="152"/>
        <v>1712.7266666666667</v>
      </c>
      <c r="P75" s="264">
        <f t="shared" si="152"/>
        <v>1712.7266666666667</v>
      </c>
      <c r="Q75" s="264">
        <f t="shared" si="152"/>
        <v>1712.7266666666667</v>
      </c>
      <c r="R75" s="264">
        <f t="shared" si="152"/>
        <v>1712.7266666666667</v>
      </c>
      <c r="S75" s="264">
        <f t="shared" si="152"/>
        <v>1712.7266666666667</v>
      </c>
      <c r="T75" s="264">
        <f t="shared" si="152"/>
        <v>1712.7266666666667</v>
      </c>
      <c r="U75" s="264">
        <f t="shared" si="152"/>
        <v>1712.7266666666667</v>
      </c>
      <c r="W75" s="325" t="s">
        <v>512</v>
      </c>
      <c r="X75" s="342">
        <f>SUMIFS(SM!G:G,SM!$C:$C,"TOO",SM!$D:$D,$E$17)</f>
        <v>188607</v>
      </c>
      <c r="Y75" s="342">
        <f>SUMIFS(SM!H:H,SM!$C:$C,"TOO",SM!$D:$D,$E17)</f>
        <v>160176</v>
      </c>
      <c r="Z75" s="342">
        <f>SUMIFS(SM!G:G,SM!$C:$C,"TOO",SM!$D:$D,$E59)</f>
        <v>39157</v>
      </c>
      <c r="AA75" s="342">
        <f>SUMIFS(SM!H:H,SM!$C:$C,"TOO",SM!$D:$D,$E59)</f>
        <v>38771</v>
      </c>
      <c r="AB75" s="342">
        <f>SUMIFS(SM!G:G,SM!$C:$C,"TOO",SM!$D:$D,$E80)</f>
        <v>41581</v>
      </c>
      <c r="AC75" s="342">
        <f>SUMIFS(SM!H:H,SM!$C:$C,"TOO",SM!$D:$D,$E80)</f>
        <v>105899</v>
      </c>
      <c r="AD75" s="343">
        <f t="shared" ref="AD75:AE79" si="153">X75+Z75+AB75</f>
        <v>269345</v>
      </c>
      <c r="AE75" s="343">
        <f t="shared" si="153"/>
        <v>304846</v>
      </c>
      <c r="AF75" s="344">
        <f>AD75-F19</f>
        <v>39682.706788409501</v>
      </c>
      <c r="AG75" s="344">
        <f>AE75-G19</f>
        <v>73951.050667487551</v>
      </c>
      <c r="AH75" s="332"/>
      <c r="AI75" s="332"/>
      <c r="AJ75" s="332"/>
    </row>
    <row r="76" spans="1:36" ht="16.5" x14ac:dyDescent="0.35">
      <c r="A76" s="30" t="s">
        <v>135</v>
      </c>
      <c r="B76" s="31" t="s">
        <v>125</v>
      </c>
      <c r="C76" s="226">
        <f t="shared" si="123"/>
        <v>37.160547945205444</v>
      </c>
      <c r="D76" s="53">
        <f t="shared" si="124"/>
        <v>72.48911398510964</v>
      </c>
      <c r="E76" s="214">
        <f>E71-E72-E75</f>
        <v>0</v>
      </c>
      <c r="F76" s="214">
        <f t="shared" ref="F76:G76" si="154">F71-F72-F75</f>
        <v>8243.6499999999942</v>
      </c>
      <c r="G76" s="214">
        <f t="shared" si="154"/>
        <v>13563.599999999988</v>
      </c>
      <c r="H76" s="45"/>
      <c r="I76" s="47">
        <f>I77*I71</f>
        <v>13031.874749641967</v>
      </c>
      <c r="J76" s="4">
        <f t="shared" ref="J76" si="155">J77*J71</f>
        <v>15793.599393441509</v>
      </c>
      <c r="K76" s="4">
        <f t="shared" ref="K76" si="156">K77*K71</f>
        <v>18597.438447129793</v>
      </c>
      <c r="L76" s="4">
        <f t="shared" ref="L76" si="157">L77*L71</f>
        <v>21442.05170119492</v>
      </c>
      <c r="M76" s="4">
        <f t="shared" ref="M76" si="158">M77*M71</f>
        <v>24326.653295244108</v>
      </c>
      <c r="N76" s="4">
        <f t="shared" ref="N76" si="159">N77*N71</f>
        <v>24593.301182870393</v>
      </c>
      <c r="O76" s="4">
        <f t="shared" ref="O76" si="160">O77*O71</f>
        <v>24858.084832602111</v>
      </c>
      <c r="P76" s="4">
        <f t="shared" ref="P76" si="161">P77*P71</f>
        <v>25122.657452228013</v>
      </c>
      <c r="Q76" s="4">
        <f t="shared" ref="Q76" si="162">Q77*Q71</f>
        <v>25387.300320380495</v>
      </c>
      <c r="R76" s="4">
        <f t="shared" ref="R76" si="163">R77*R71</f>
        <v>25652.566722227082</v>
      </c>
      <c r="S76" s="4">
        <f t="shared" ref="S76" si="164">S77*S71</f>
        <v>25918.75242500726</v>
      </c>
      <c r="T76" s="4">
        <f t="shared" ref="T76" si="165">T77*T71</f>
        <v>26187.157564401783</v>
      </c>
      <c r="U76" s="4">
        <f t="shared" ref="U76" si="166">U77*U71</f>
        <v>26458.526604565021</v>
      </c>
      <c r="W76" s="325" t="s">
        <v>513</v>
      </c>
      <c r="X76" s="342">
        <f>X77+X78</f>
        <v>203978.97005000056</v>
      </c>
      <c r="Y76" s="342">
        <f t="shared" ref="Y76:AC76" si="167">Y77+Y78</f>
        <v>204689.6500100003</v>
      </c>
      <c r="Z76" s="342">
        <f t="shared" si="167"/>
        <v>8192.1899999999969</v>
      </c>
      <c r="AA76" s="342">
        <f t="shared" si="167"/>
        <v>24440.900000000045</v>
      </c>
      <c r="AB76" s="342">
        <f t="shared" si="167"/>
        <v>22303.580000000005</v>
      </c>
      <c r="AC76" s="342">
        <f t="shared" si="167"/>
        <v>38230.559999999961</v>
      </c>
      <c r="AD76" s="343">
        <f t="shared" si="153"/>
        <v>234474.74005000058</v>
      </c>
      <c r="AE76" s="343">
        <f t="shared" si="153"/>
        <v>267361.1100100003</v>
      </c>
      <c r="AF76" s="344">
        <f>Z76+AB76</f>
        <v>30495.770000000004</v>
      </c>
      <c r="AG76" s="344">
        <f>AA76+AC76</f>
        <v>62671.460000000006</v>
      </c>
    </row>
    <row r="77" spans="1:36" x14ac:dyDescent="0.35">
      <c r="A77" s="30" t="s">
        <v>135</v>
      </c>
      <c r="B77" s="31" t="s">
        <v>131</v>
      </c>
      <c r="C77" s="73">
        <f>G77</f>
        <v>0.32822572839028136</v>
      </c>
      <c r="D77" s="54">
        <f>U77</f>
        <v>0.25</v>
      </c>
      <c r="E77" s="50"/>
      <c r="F77" s="50">
        <f>IFERROR(F76/F71,"")</f>
        <v>0.40583124107714241</v>
      </c>
      <c r="G77" s="50">
        <f>IFERROR(G76/G71,"")</f>
        <v>0.32822572839028136</v>
      </c>
      <c r="H77" s="50">
        <f>IFERROR(H76/H71,"")</f>
        <v>0</v>
      </c>
      <c r="I77" s="227">
        <f>$AK$47</f>
        <v>0.25</v>
      </c>
      <c r="J77" s="38">
        <f t="shared" ref="J77:U77" si="168">I77</f>
        <v>0.25</v>
      </c>
      <c r="K77" s="38">
        <f t="shared" si="168"/>
        <v>0.25</v>
      </c>
      <c r="L77" s="38">
        <f t="shared" si="168"/>
        <v>0.25</v>
      </c>
      <c r="M77" s="38">
        <f t="shared" si="168"/>
        <v>0.25</v>
      </c>
      <c r="N77" s="38">
        <f t="shared" si="168"/>
        <v>0.25</v>
      </c>
      <c r="O77" s="38">
        <f t="shared" si="168"/>
        <v>0.25</v>
      </c>
      <c r="P77" s="38">
        <f t="shared" si="168"/>
        <v>0.25</v>
      </c>
      <c r="Q77" s="38">
        <f t="shared" si="168"/>
        <v>0.25</v>
      </c>
      <c r="R77" s="38">
        <f t="shared" si="168"/>
        <v>0.25</v>
      </c>
      <c r="S77" s="38">
        <f t="shared" si="168"/>
        <v>0.25</v>
      </c>
      <c r="T77" s="38">
        <f t="shared" si="168"/>
        <v>0.25</v>
      </c>
      <c r="U77" s="38">
        <f t="shared" si="168"/>
        <v>0.25</v>
      </c>
      <c r="W77" s="325" t="s">
        <v>514</v>
      </c>
      <c r="X77" s="342">
        <f>ABS(SUMIFS(SM!G:G,SM!$C:$C,"era",SM!$D:$D,$E$17))</f>
        <v>180381.32001000055</v>
      </c>
      <c r="Y77" s="342">
        <f>ABS(SUMIFS(SM!H:H,SM!$C:$C,"era",SM!$D:$D,$E$17))</f>
        <v>176822.91001000028</v>
      </c>
      <c r="Z77" s="342">
        <f>ABS(SUMIFS(SM!G:G,SM!$C:$C,"era",SM!$D:$D,$E$59))</f>
        <v>8179.9499999999971</v>
      </c>
      <c r="AA77" s="342">
        <f>ABS(SUMIFS(SM!H:H,SM!$C:$C,"era",SM!$D:$D,$E$59))</f>
        <v>24323.700000000044</v>
      </c>
      <c r="AB77" s="342">
        <f>ABS(SUMIFS(SM!G:G,SM!$C:$C,"era",SM!$D:$D,$E$80))</f>
        <v>15781.380000000005</v>
      </c>
      <c r="AC77" s="342">
        <f>ABS(SUMIFS(SM!H:H,SM!$C:$C,"era",SM!$D:$D,$E$80))</f>
        <v>29471.559999999961</v>
      </c>
      <c r="AD77" s="343">
        <f t="shared" si="153"/>
        <v>204342.65001000057</v>
      </c>
      <c r="AE77" s="343">
        <f t="shared" si="153"/>
        <v>230618.17001000029</v>
      </c>
    </row>
    <row r="78" spans="1:36" s="70" customFormat="1" x14ac:dyDescent="0.35">
      <c r="A78" s="181" t="s">
        <v>128</v>
      </c>
      <c r="B78" s="182" t="s">
        <v>129</v>
      </c>
      <c r="C78" s="211">
        <f>G78</f>
        <v>71.024672010422876</v>
      </c>
      <c r="D78" s="211">
        <f>U78</f>
        <v>75.000000000000057</v>
      </c>
      <c r="E78" s="71"/>
      <c r="F78" s="214">
        <f>G78</f>
        <v>71.024672010422876</v>
      </c>
      <c r="G78" s="71">
        <f>G73/G79/365*1000</f>
        <v>71.024672010422876</v>
      </c>
      <c r="H78" s="71"/>
      <c r="I78" s="76">
        <f>G78</f>
        <v>71.024672010422876</v>
      </c>
      <c r="J78" s="4">
        <f>IF(I78=0,0,IF(I78&gt;Veehind!$B$16,I78,I78+(Veehind!$B$16-$I78)/12))</f>
        <v>71.355949342887641</v>
      </c>
      <c r="K78" s="4">
        <f>IF(J78=0,0,IF(J78&gt;Veehind!$B$16,J78,J78+(Veehind!$B$16-$I78)/12))</f>
        <v>71.687226675352406</v>
      </c>
      <c r="L78" s="4">
        <f>IF(K78=0,0,IF(K78&gt;Veehind!$B$16,K78,K78+(Veehind!$B$16-$I78)/12))</f>
        <v>72.018504007817171</v>
      </c>
      <c r="M78" s="4">
        <f>IF(L78=0,0,IF(L78&gt;Veehind!$B$16,L78,L78+(Veehind!$B$16-$I78)/12))</f>
        <v>72.349781340281936</v>
      </c>
      <c r="N78" s="4">
        <f>IF(M78=0,0,IF(M78&gt;Veehind!$B$16,M78,M78+(Veehind!$B$16-$I78)/12))</f>
        <v>72.681058672746701</v>
      </c>
      <c r="O78" s="4">
        <f>IF(N78=0,0,IF(N78&gt;Veehind!$B$16,N78,N78+(Veehind!$B$16-$I78)/12))</f>
        <v>73.012336005211466</v>
      </c>
      <c r="P78" s="4">
        <f>IF(O78=0,0,IF(O78&gt;Veehind!$B$16,O78,O78+(Veehind!$B$16-$I78)/12))</f>
        <v>73.343613337676231</v>
      </c>
      <c r="Q78" s="4">
        <f>IF(P78=0,0,IF(P78&gt;Veehind!$B$16,P78,P78+(Veehind!$B$16-$I78)/12))</f>
        <v>73.674890670140996</v>
      </c>
      <c r="R78" s="4">
        <f>IF(Q78=0,0,IF(Q78&gt;Veehind!$B$16,Q78,Q78+(Veehind!$B$16-$I78)/12))</f>
        <v>74.006168002605762</v>
      </c>
      <c r="S78" s="4">
        <f>IF(R78=0,0,IF(R78&gt;Veehind!$B$16,R78,R78+(Veehind!$B$16-$I78)/12))</f>
        <v>74.337445335070527</v>
      </c>
      <c r="T78" s="4">
        <f>IF(S78=0,0,IF(S78&gt;Veehind!$B$16,S78,S78+(Veehind!$B$16-$I78)/12))</f>
        <v>74.668722667535292</v>
      </c>
      <c r="U78" s="4">
        <f>IF(T78=0,0,IF(T78&gt;Veehind!$B$16,T78,T78+(Veehind!$B$16-$I78)/12))</f>
        <v>75.000000000000057</v>
      </c>
      <c r="W78" s="325" t="s">
        <v>515</v>
      </c>
      <c r="X78" s="342">
        <f>ABS(SUMIFS(SM!G:G,SM!$C:$C,"jur",SM!$D:$D,$E$17))</f>
        <v>23597.650040000004</v>
      </c>
      <c r="Y78" s="342">
        <f>ABS(SUMIFS(SM!H:H,SM!$C:$C,"jur",SM!$D:$D,$E$17))</f>
        <v>27866.740000000013</v>
      </c>
      <c r="Z78" s="342">
        <f>ABS(SUMIFS(SM!G:G,SM!$C:$C,"jur",SM!$D:$D,$E$59))</f>
        <v>12.24</v>
      </c>
      <c r="AA78" s="342">
        <f>ABS(SUMIFS(SM!H:H,SM!$C:$C,"jur",SM!$D:$D,$E$59))</f>
        <v>117.20000000000002</v>
      </c>
      <c r="AB78" s="342">
        <f>ABS(SUMIFS(SM!G:G,SM!$C:$C,"jur",SM!$D:$D,$E$80))</f>
        <v>6522.2</v>
      </c>
      <c r="AC78" s="342">
        <f>ABS(SUMIFS(SM!H:H,SM!$C:$C,"jur",SM!$D:$D,$E$80))</f>
        <v>8759.0000000000018</v>
      </c>
      <c r="AD78" s="343">
        <f t="shared" si="153"/>
        <v>30132.090040000006</v>
      </c>
      <c r="AE78" s="343">
        <f t="shared" si="153"/>
        <v>36742.940000000017</v>
      </c>
      <c r="AF78" s="332"/>
      <c r="AG78" s="332"/>
      <c r="AH78" s="345"/>
      <c r="AI78" s="345"/>
      <c r="AJ78" s="345"/>
    </row>
    <row r="79" spans="1:36" s="242" customFormat="1" x14ac:dyDescent="0.35">
      <c r="A79" s="77" t="s">
        <v>136</v>
      </c>
      <c r="B79" s="78" t="s">
        <v>137</v>
      </c>
      <c r="C79" s="355">
        <f>G79</f>
        <v>999.28</v>
      </c>
      <c r="D79" s="355">
        <f>U79</f>
        <v>2830.3526263754648</v>
      </c>
      <c r="E79" s="215">
        <f>VLOOKUP($A59,Elanikud!$A$22:$S$41,Elanikud!B$21,FALSE)</f>
        <v>0</v>
      </c>
      <c r="F79" s="215">
        <f>F73*1000/365/F78</f>
        <v>331.43181024452883</v>
      </c>
      <c r="G79" s="215">
        <f>VLOOKUP($A59,Elanikud!$A$22:$S$41,Elanikud!D$21,FALSE)</f>
        <v>999.28</v>
      </c>
      <c r="H79" s="215">
        <f>VLOOKUP($A59,Elanikud!$A$22:$S$41,Elanikud!E$21,FALSE)</f>
        <v>1435</v>
      </c>
      <c r="I79" s="62">
        <f>VLOOKUP($A59,Elanikud!$A$22:$S$41,Elanikud!E$21,FALSE)</f>
        <v>1435</v>
      </c>
      <c r="J79" s="241">
        <f>VLOOKUP($A59,Elanikud!$A$22:$S$41,Elanikud!F$21,FALSE)</f>
        <v>1746.4487844942992</v>
      </c>
      <c r="K79" s="241">
        <f>VLOOKUP($A59,Elanikud!$A$22:$S$41,Elanikud!G$21,FALSE)</f>
        <v>2059.8476233585598</v>
      </c>
      <c r="L79" s="241">
        <f>VLOOKUP($A59,Elanikud!$A$22:$S$41,Elanikud!H$21,FALSE)</f>
        <v>2375.0166538303743</v>
      </c>
      <c r="M79" s="241">
        <f>VLOOKUP($A59,Elanikud!$A$22:$S$41,Elanikud!I$21,FALSE)</f>
        <v>2691.8422833124346</v>
      </c>
      <c r="N79" s="241">
        <f>VLOOKUP($A59,Elanikud!$A$22:$S$41,Elanikud!J$21,FALSE)</f>
        <v>2709.7269999957994</v>
      </c>
      <c r="O79" s="241">
        <f>VLOOKUP($A59,Elanikud!$A$22:$S$41,Elanikud!K$21,FALSE)</f>
        <v>2727.239558942551</v>
      </c>
      <c r="P79" s="241">
        <f>VLOOKUP($A59,Elanikud!$A$22:$S$41,Elanikud!L$21,FALSE)</f>
        <v>2744.570268086185</v>
      </c>
      <c r="Q79" s="241">
        <f>VLOOKUP($A59,Elanikud!$A$22:$S$41,Elanikud!M$21,FALSE)</f>
        <v>2761.7529599482114</v>
      </c>
      <c r="R79" s="241">
        <f>VLOOKUP($A59,Elanikud!$A$22:$S$41,Elanikud!N$21,FALSE)</f>
        <v>2778.8510705064623</v>
      </c>
      <c r="S79" s="241">
        <f>VLOOKUP($A59,Elanikud!$A$22:$S$41,Elanikud!O$21,FALSE)</f>
        <v>2795.8984322824476</v>
      </c>
      <c r="T79" s="241">
        <f>VLOOKUP($A59,Elanikud!$A$22:$S$41,Elanikud!P$21,FALSE)</f>
        <v>2813.038833492586</v>
      </c>
      <c r="U79" s="241">
        <f>VLOOKUP($A59,Elanikud!$A$22:$S$41,Elanikud!Q$21,FALSE)</f>
        <v>2830.3526263754648</v>
      </c>
      <c r="V79" s="7"/>
      <c r="W79" s="325" t="s">
        <v>519</v>
      </c>
      <c r="X79" s="346">
        <f t="shared" ref="X79:AC79" si="169">X75-X76-X82</f>
        <v>-28733.740050000557</v>
      </c>
      <c r="Y79" s="346">
        <f t="shared" si="169"/>
        <v>-55896.670010000307</v>
      </c>
      <c r="Z79" s="346">
        <f t="shared" si="169"/>
        <v>27070.810000000005</v>
      </c>
      <c r="AA79" s="346">
        <f t="shared" si="169"/>
        <v>12493.099999999955</v>
      </c>
      <c r="AB79" s="346">
        <f t="shared" si="169"/>
        <v>16113.489999999994</v>
      </c>
      <c r="AC79" s="346">
        <f t="shared" si="169"/>
        <v>62973.130000000034</v>
      </c>
      <c r="AD79" s="343">
        <f t="shared" si="153"/>
        <v>14450.559949999442</v>
      </c>
      <c r="AE79" s="343">
        <f t="shared" si="153"/>
        <v>19569.559989999681</v>
      </c>
      <c r="AF79" s="332"/>
      <c r="AG79" s="332"/>
      <c r="AH79" s="332"/>
      <c r="AI79" s="332"/>
      <c r="AJ79" s="332"/>
    </row>
    <row r="80" spans="1:36" collapsed="1" x14ac:dyDescent="0.35">
      <c r="A80" s="36" t="s">
        <v>488</v>
      </c>
      <c r="B80" s="36"/>
      <c r="C80" s="36"/>
      <c r="D80" s="36"/>
      <c r="E80" s="41" t="s">
        <v>499</v>
      </c>
      <c r="F80" s="41"/>
      <c r="G80" s="41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W80" s="325" t="s">
        <v>131</v>
      </c>
      <c r="X80" s="347">
        <f>IFERROR(X79/X75,"")</f>
        <v>-0.15234715599103191</v>
      </c>
      <c r="Y80" s="347">
        <f t="shared" ref="Y80:AC80" si="170">IFERROR(Y79/Y75,"")</f>
        <v>-0.34897032021027063</v>
      </c>
      <c r="Z80" s="347">
        <f t="shared" si="170"/>
        <v>0.69134024567765673</v>
      </c>
      <c r="AA80" s="347">
        <f t="shared" si="170"/>
        <v>0.32222795388305575</v>
      </c>
      <c r="AB80" s="347">
        <f t="shared" si="170"/>
        <v>0.38752050215242523</v>
      </c>
      <c r="AC80" s="347">
        <f t="shared" si="170"/>
        <v>0.59465273515330674</v>
      </c>
      <c r="AD80" s="348">
        <f t="shared" ref="AD80" si="171">IFERROR(AD79/AD75,"")</f>
        <v>5.365074514098811E-2</v>
      </c>
      <c r="AE80" s="348">
        <f t="shared" ref="AE80" si="172">IFERROR(AE79/AE75,"")</f>
        <v>6.4194904935605784E-2</v>
      </c>
    </row>
    <row r="81" spans="1:36" x14ac:dyDescent="0.35">
      <c r="A81" s="34" t="s">
        <v>21</v>
      </c>
      <c r="B81" s="32"/>
      <c r="C81" s="32"/>
      <c r="D81" s="32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W81" s="325" t="s">
        <v>516</v>
      </c>
      <c r="X81" s="342">
        <f>X77/X83/365*1000</f>
        <v>114.34733270756637</v>
      </c>
      <c r="Y81" s="342">
        <f t="shared" ref="Y81:AC81" si="173">Y77/Y83/365*1000</f>
        <v>107.64940831369992</v>
      </c>
      <c r="Z81" s="342">
        <f t="shared" si="173"/>
        <v>66.688289541072436</v>
      </c>
      <c r="AA81" s="342">
        <f t="shared" si="173"/>
        <v>66.688289541072436</v>
      </c>
      <c r="AB81" s="342">
        <f t="shared" si="173"/>
        <v>71.018699315706982</v>
      </c>
      <c r="AC81" s="342">
        <f t="shared" si="173"/>
        <v>71.018699315706982</v>
      </c>
      <c r="AD81" s="343">
        <f>AD77/AD83/365*1000</f>
        <v>106.29780969376442</v>
      </c>
      <c r="AE81" s="343">
        <f>AE77/AE83/365*1000</f>
        <v>95.206214463643235</v>
      </c>
    </row>
    <row r="82" spans="1:36" ht="16.5" x14ac:dyDescent="0.35">
      <c r="A82" s="30" t="s">
        <v>124</v>
      </c>
      <c r="B82" s="31" t="s">
        <v>125</v>
      </c>
      <c r="C82" s="53">
        <f t="shared" ref="C82:C87" si="174">G82/365</f>
        <v>125.67266828097205</v>
      </c>
      <c r="D82" s="72">
        <f t="shared" ref="D82:D87" si="175">U82/365</f>
        <v>255.10626865605389</v>
      </c>
      <c r="E82" s="46"/>
      <c r="F82" s="210">
        <f>(F83+F86)*100%/(100%-F88)</f>
        <v>26911.322505129654</v>
      </c>
      <c r="G82" s="210">
        <f>(G83+G86)*100%/(100%-G88)</f>
        <v>45870.523922554799</v>
      </c>
      <c r="H82" s="46">
        <f>SUMIFS(SM!$R:$R,SM!M:M,Q!E80)</f>
        <v>54531</v>
      </c>
      <c r="I82" s="76">
        <f t="shared" ref="I82:U82" si="176">(I83+I86)/(100%-I88)</f>
        <v>50053.520896367088</v>
      </c>
      <c r="J82" s="4">
        <f t="shared" si="176"/>
        <v>58341.930111952082</v>
      </c>
      <c r="K82" s="4">
        <f t="shared" si="176"/>
        <v>66807.632706437842</v>
      </c>
      <c r="L82" s="4">
        <f t="shared" si="176"/>
        <v>75448.340075333341</v>
      </c>
      <c r="M82" s="4">
        <f t="shared" si="176"/>
        <v>84263.426473507585</v>
      </c>
      <c r="N82" s="4">
        <f t="shared" si="176"/>
        <v>85345.103424748071</v>
      </c>
      <c r="O82" s="4">
        <f t="shared" si="176"/>
        <v>86428.150932755729</v>
      </c>
      <c r="P82" s="4">
        <f t="shared" si="176"/>
        <v>87517.625422823563</v>
      </c>
      <c r="Q82" s="4">
        <f t="shared" si="176"/>
        <v>88614.450751064272</v>
      </c>
      <c r="R82" s="4">
        <f t="shared" si="176"/>
        <v>89720.398164170721</v>
      </c>
      <c r="S82" s="4">
        <f t="shared" si="176"/>
        <v>90836.468935948258</v>
      </c>
      <c r="T82" s="4">
        <f t="shared" si="176"/>
        <v>91966.782077843614</v>
      </c>
      <c r="U82" s="4">
        <f t="shared" si="176"/>
        <v>93113.788059459665</v>
      </c>
      <c r="W82" s="325" t="s">
        <v>517</v>
      </c>
      <c r="X82" s="342">
        <f>F23</f>
        <v>13361.77</v>
      </c>
      <c r="Y82" s="342">
        <f>G23</f>
        <v>11383.02</v>
      </c>
      <c r="Z82" s="342">
        <f>F65</f>
        <v>3894</v>
      </c>
      <c r="AA82" s="342">
        <f>G65</f>
        <v>1837</v>
      </c>
      <c r="AB82" s="342">
        <f>F86</f>
        <v>3163.9300000000003</v>
      </c>
      <c r="AC82" s="342">
        <f>G86</f>
        <v>4695.3100000000013</v>
      </c>
      <c r="AD82" s="343">
        <f>X82+Z82+AB82</f>
        <v>20419.7</v>
      </c>
      <c r="AE82" s="343">
        <f>Y82+AA82+AC82</f>
        <v>17915.330000000002</v>
      </c>
      <c r="AF82" s="344">
        <f>Z82+AB82</f>
        <v>7057.93</v>
      </c>
      <c r="AG82" s="344">
        <f>AA82+AC82</f>
        <v>6532.3100000000013</v>
      </c>
      <c r="AH82" s="334"/>
      <c r="AI82" s="334"/>
      <c r="AJ82" s="334"/>
    </row>
    <row r="83" spans="1:36" ht="16.5" x14ac:dyDescent="0.35">
      <c r="A83" s="30" t="s">
        <v>126</v>
      </c>
      <c r="B83" s="31" t="s">
        <v>125</v>
      </c>
      <c r="C83" s="53">
        <f t="shared" si="174"/>
        <v>104.7412602739725</v>
      </c>
      <c r="D83" s="53">
        <f t="shared" si="175"/>
        <v>221.49354133382747</v>
      </c>
      <c r="E83" s="46"/>
      <c r="F83" s="64">
        <f>F84+F85</f>
        <v>22303.580000000005</v>
      </c>
      <c r="G83" s="64">
        <f>G84+G85</f>
        <v>38230.559999999961</v>
      </c>
      <c r="H83" s="46"/>
      <c r="I83" s="48">
        <f t="shared" ref="I83:U83" si="177">I84+I85</f>
        <v>43883.073214065778</v>
      </c>
      <c r="J83" s="12">
        <f t="shared" si="177"/>
        <v>51465.330591830665</v>
      </c>
      <c r="K83" s="12">
        <f t="shared" si="177"/>
        <v>59162.980802528342</v>
      </c>
      <c r="L83" s="12">
        <f t="shared" si="177"/>
        <v>66972.315642769376</v>
      </c>
      <c r="M83" s="12">
        <f t="shared" si="177"/>
        <v>74891.190489713845</v>
      </c>
      <c r="N83" s="12">
        <f t="shared" si="177"/>
        <v>75635.870314758737</v>
      </c>
      <c r="O83" s="12">
        <f t="shared" si="177"/>
        <v>76375.353253007066</v>
      </c>
      <c r="P83" s="12">
        <f t="shared" si="177"/>
        <v>77114.253254738811</v>
      </c>
      <c r="Q83" s="12">
        <f t="shared" si="177"/>
        <v>77853.355287031489</v>
      </c>
      <c r="R83" s="12">
        <f t="shared" si="177"/>
        <v>78594.203527457837</v>
      </c>
      <c r="S83" s="12">
        <f t="shared" si="177"/>
        <v>79337.623443281016</v>
      </c>
      <c r="T83" s="12">
        <f t="shared" si="177"/>
        <v>80087.243817981216</v>
      </c>
      <c r="U83" s="12">
        <f t="shared" si="177"/>
        <v>80845.142586847025</v>
      </c>
      <c r="W83" s="326" t="s">
        <v>518</v>
      </c>
      <c r="X83" s="349">
        <f>F27</f>
        <v>4321.8795365479637</v>
      </c>
      <c r="Y83" s="349">
        <f>G27</f>
        <v>4500.2228659056054</v>
      </c>
      <c r="Z83" s="349">
        <f>F69</f>
        <v>336.05333218219192</v>
      </c>
      <c r="AA83" s="349">
        <f>G69</f>
        <v>999.28</v>
      </c>
      <c r="AB83" s="349">
        <f>F90</f>
        <v>608.8066657211233</v>
      </c>
      <c r="AC83" s="349">
        <f>G90</f>
        <v>1136.94</v>
      </c>
      <c r="AD83" s="350">
        <f>X83+Z83+AB83</f>
        <v>5266.7395344512788</v>
      </c>
      <c r="AE83" s="350">
        <f>Y83+AA83+AC83</f>
        <v>6636.4428659056048</v>
      </c>
      <c r="AF83" s="334"/>
      <c r="AG83" s="334"/>
    </row>
    <row r="84" spans="1:36" ht="16.5" x14ac:dyDescent="0.35">
      <c r="A84" s="30" t="s">
        <v>127</v>
      </c>
      <c r="B84" s="31" t="s">
        <v>125</v>
      </c>
      <c r="C84" s="53">
        <f t="shared" si="174"/>
        <v>80.7439999999999</v>
      </c>
      <c r="D84" s="53">
        <f t="shared" si="175"/>
        <v>197.49628105985485</v>
      </c>
      <c r="E84" s="46"/>
      <c r="F84" s="64">
        <f>ABS(SUMIFS(SM!G:G,SM!$C:$C,"ERA",SM!$D:$D,$E80))</f>
        <v>15781.380000000005</v>
      </c>
      <c r="G84" s="64">
        <f>ABS(SUMIFS(SM!H:H,SM!$C:$C,"ERA",SM!$D:$D,$E80))</f>
        <v>29471.559999999961</v>
      </c>
      <c r="H84" s="64"/>
      <c r="I84" s="47">
        <f t="shared" ref="I84:U84" si="178">I89*I90/1000*365</f>
        <v>35124.073214065778</v>
      </c>
      <c r="J84" s="4">
        <f t="shared" si="178"/>
        <v>42706.330591830665</v>
      </c>
      <c r="K84" s="4">
        <f t="shared" si="178"/>
        <v>50403.980802528342</v>
      </c>
      <c r="L84" s="4">
        <f t="shared" si="178"/>
        <v>58213.315642769376</v>
      </c>
      <c r="M84" s="4">
        <f t="shared" si="178"/>
        <v>66132.190489713845</v>
      </c>
      <c r="N84" s="4">
        <f t="shared" si="178"/>
        <v>66876.870314758737</v>
      </c>
      <c r="O84" s="4">
        <f t="shared" si="178"/>
        <v>67616.353253007066</v>
      </c>
      <c r="P84" s="4">
        <f t="shared" si="178"/>
        <v>68355.253254738811</v>
      </c>
      <c r="Q84" s="4">
        <f t="shared" si="178"/>
        <v>69094.355287031489</v>
      </c>
      <c r="R84" s="4">
        <f t="shared" si="178"/>
        <v>69835.203527457837</v>
      </c>
      <c r="S84" s="4">
        <f t="shared" si="178"/>
        <v>70578.623443281016</v>
      </c>
      <c r="T84" s="4">
        <f t="shared" si="178"/>
        <v>71328.243817981216</v>
      </c>
      <c r="U84" s="4">
        <f t="shared" si="178"/>
        <v>72086.142586847025</v>
      </c>
      <c r="W84" s="327"/>
      <c r="X84" s="351">
        <f>(X76+X82)/($AD$76+$AD$82)</f>
        <v>0.85266959925593733</v>
      </c>
      <c r="Y84" s="351">
        <f>(Y76+Y82)/($AD$76+$AD$82)</f>
        <v>0.84769471616413072</v>
      </c>
      <c r="Z84" s="351">
        <f>Z76/$AD$76</f>
        <v>3.4938475668010352E-2</v>
      </c>
      <c r="AA84" s="351">
        <f>AA76/$AE$76</f>
        <v>9.1415314662202984E-2</v>
      </c>
      <c r="AB84" s="351">
        <f>AB76/$AD$76</f>
        <v>9.512146167746631E-2</v>
      </c>
      <c r="AC84" s="351">
        <f>AC76/$AE$76</f>
        <v>0.14299222500448924</v>
      </c>
    </row>
    <row r="85" spans="1:36" ht="16.5" x14ac:dyDescent="0.35">
      <c r="A85" s="30" t="s">
        <v>497</v>
      </c>
      <c r="B85" s="31" t="s">
        <v>125</v>
      </c>
      <c r="C85" s="53">
        <f t="shared" si="174"/>
        <v>23.997260273972607</v>
      </c>
      <c r="D85" s="53">
        <f t="shared" si="175"/>
        <v>23.997260273972607</v>
      </c>
      <c r="E85" s="46"/>
      <c r="F85" s="64">
        <f>ABS(SUMIFS(SM!G:G,SM!$C:$C,"JUR",SM!$D:$D,$E80))</f>
        <v>6522.2</v>
      </c>
      <c r="G85" s="64">
        <f>ABS(SUMIFS(SM!H:H,SM!$C:$C,"JUR",SM!$D:$D,$E80))</f>
        <v>8759.0000000000018</v>
      </c>
      <c r="H85" s="64"/>
      <c r="I85" s="76">
        <f>G85</f>
        <v>8759.0000000000018</v>
      </c>
      <c r="J85" s="4">
        <f t="shared" ref="J85:U85" si="179">I85</f>
        <v>8759.0000000000018</v>
      </c>
      <c r="K85" s="4">
        <f t="shared" si="179"/>
        <v>8759.0000000000018</v>
      </c>
      <c r="L85" s="4">
        <f t="shared" si="179"/>
        <v>8759.0000000000018</v>
      </c>
      <c r="M85" s="4">
        <f t="shared" si="179"/>
        <v>8759.0000000000018</v>
      </c>
      <c r="N85" s="4">
        <f t="shared" si="179"/>
        <v>8759.0000000000018</v>
      </c>
      <c r="O85" s="4">
        <f t="shared" si="179"/>
        <v>8759.0000000000018</v>
      </c>
      <c r="P85" s="4">
        <f t="shared" si="179"/>
        <v>8759.0000000000018</v>
      </c>
      <c r="Q85" s="4">
        <f t="shared" si="179"/>
        <v>8759.0000000000018</v>
      </c>
      <c r="R85" s="4">
        <f t="shared" si="179"/>
        <v>8759.0000000000018</v>
      </c>
      <c r="S85" s="4">
        <f t="shared" si="179"/>
        <v>8759.0000000000018</v>
      </c>
      <c r="T85" s="4">
        <f t="shared" si="179"/>
        <v>8759.0000000000018</v>
      </c>
      <c r="U85" s="4">
        <f t="shared" si="179"/>
        <v>8759.0000000000018</v>
      </c>
      <c r="Z85" s="352">
        <f>(Z76+Z82)/($AF$76+$AF$82)</f>
        <v>0.32183752865896026</v>
      </c>
      <c r="AA85" s="352">
        <f>(AA76+AA82)/($AG$76+$AG$82)</f>
        <v>0.37971775237100586</v>
      </c>
      <c r="AB85" s="352">
        <f>(AB76+AB82)/($AF$76+$AF$82)</f>
        <v>0.67816247134103969</v>
      </c>
      <c r="AC85" s="352">
        <f>(AC76+AC82)/($AG$76+$AG$82)</f>
        <v>0.6202822476289942</v>
      </c>
    </row>
    <row r="86" spans="1:36" s="244" customFormat="1" ht="16.5" x14ac:dyDescent="0.35">
      <c r="A86" s="255" t="s">
        <v>524</v>
      </c>
      <c r="B86" s="256" t="s">
        <v>520</v>
      </c>
      <c r="C86" s="257">
        <f t="shared" si="174"/>
        <v>12.863863013698634</v>
      </c>
      <c r="D86" s="257">
        <f t="shared" si="175"/>
        <v>8.102100456621006</v>
      </c>
      <c r="E86" s="258">
        <f>ABS(SUMIFS(SM!F:F,SM!$C:$C,"OMA",SM!$D:$D,$E80))</f>
        <v>1012.56</v>
      </c>
      <c r="F86" s="258">
        <f>ABS(SUMIFS(SM!G:G,SM!$C:$C,"OMA",SM!$D:$D,$E80))</f>
        <v>3163.9300000000003</v>
      </c>
      <c r="G86" s="258">
        <f>ABS(SUMIFS(SM!H:H,SM!$C:$C,"OMA",SM!$D:$D,$E80))</f>
        <v>4695.3100000000013</v>
      </c>
      <c r="H86" s="258"/>
      <c r="I86" s="275">
        <f>AVERAGE(E86:G86)</f>
        <v>2957.2666666666669</v>
      </c>
      <c r="J86" s="259">
        <f t="shared" ref="J86:U86" si="180">I86</f>
        <v>2957.2666666666669</v>
      </c>
      <c r="K86" s="259">
        <f t="shared" si="180"/>
        <v>2957.2666666666669</v>
      </c>
      <c r="L86" s="259">
        <f t="shared" si="180"/>
        <v>2957.2666666666669</v>
      </c>
      <c r="M86" s="259">
        <f t="shared" si="180"/>
        <v>2957.2666666666669</v>
      </c>
      <c r="N86" s="259">
        <f t="shared" si="180"/>
        <v>2957.2666666666669</v>
      </c>
      <c r="O86" s="259">
        <f t="shared" si="180"/>
        <v>2957.2666666666669</v>
      </c>
      <c r="P86" s="259">
        <f t="shared" si="180"/>
        <v>2957.2666666666669</v>
      </c>
      <c r="Q86" s="259">
        <f t="shared" si="180"/>
        <v>2957.2666666666669</v>
      </c>
      <c r="R86" s="259">
        <f t="shared" si="180"/>
        <v>2957.2666666666669</v>
      </c>
      <c r="S86" s="259">
        <f t="shared" si="180"/>
        <v>2957.2666666666669</v>
      </c>
      <c r="T86" s="259">
        <f t="shared" si="180"/>
        <v>2957.2666666666669</v>
      </c>
      <c r="U86" s="259">
        <f t="shared" si="180"/>
        <v>2957.2666666666669</v>
      </c>
      <c r="W86" s="318"/>
      <c r="X86" s="332"/>
      <c r="Y86" s="332"/>
      <c r="Z86" s="332"/>
      <c r="AA86" s="332"/>
      <c r="AB86" s="332"/>
      <c r="AC86" s="332"/>
      <c r="AD86" s="332"/>
      <c r="AE86" s="332"/>
      <c r="AF86" s="332"/>
      <c r="AG86" s="332"/>
      <c r="AH86" s="332"/>
      <c r="AI86" s="332"/>
      <c r="AJ86" s="332"/>
    </row>
    <row r="87" spans="1:36" ht="16.5" x14ac:dyDescent="0.35">
      <c r="A87" s="30" t="s">
        <v>130</v>
      </c>
      <c r="B87" s="31" t="s">
        <v>125</v>
      </c>
      <c r="C87" s="72">
        <f t="shared" si="174"/>
        <v>8.0675449933009222</v>
      </c>
      <c r="D87" s="53">
        <f t="shared" si="175"/>
        <v>25.510626865605406</v>
      </c>
      <c r="E87" s="64"/>
      <c r="F87" s="210">
        <f>F82-F83-F86</f>
        <v>1443.8125051296483</v>
      </c>
      <c r="G87" s="210">
        <f>G82-G83-G86</f>
        <v>2944.6539225548368</v>
      </c>
      <c r="H87" s="64"/>
      <c r="I87" s="47">
        <f t="shared" ref="I87:U87" si="181">I88*I82</f>
        <v>3213.1810156346428</v>
      </c>
      <c r="J87" s="4">
        <f t="shared" si="181"/>
        <v>3919.332853454745</v>
      </c>
      <c r="K87" s="4">
        <f t="shared" si="181"/>
        <v>4687.3852372428355</v>
      </c>
      <c r="L87" s="4">
        <f t="shared" si="181"/>
        <v>5518.757765897295</v>
      </c>
      <c r="M87" s="4">
        <f t="shared" si="181"/>
        <v>6414.9693171270728</v>
      </c>
      <c r="N87" s="4">
        <f t="shared" si="181"/>
        <v>6751.9664433226735</v>
      </c>
      <c r="O87" s="4">
        <f t="shared" si="181"/>
        <v>7095.5310130820098</v>
      </c>
      <c r="P87" s="4">
        <f t="shared" si="181"/>
        <v>7446.105501418092</v>
      </c>
      <c r="Q87" s="4">
        <f t="shared" si="181"/>
        <v>7803.828797366119</v>
      </c>
      <c r="R87" s="4">
        <f t="shared" si="181"/>
        <v>8168.9279700462184</v>
      </c>
      <c r="S87" s="4">
        <f t="shared" si="181"/>
        <v>8541.5788260005775</v>
      </c>
      <c r="T87" s="4">
        <f t="shared" si="181"/>
        <v>8922.2715931957318</v>
      </c>
      <c r="U87" s="4">
        <f t="shared" si="181"/>
        <v>9311.378805945973</v>
      </c>
    </row>
    <row r="88" spans="1:36" x14ac:dyDescent="0.35">
      <c r="A88" s="30" t="s">
        <v>130</v>
      </c>
      <c r="B88" s="31" t="s">
        <v>131</v>
      </c>
      <c r="C88" s="74">
        <f>G88</f>
        <v>6.4194904935605784E-2</v>
      </c>
      <c r="D88" s="54">
        <f>U88</f>
        <v>0.10000000000000006</v>
      </c>
      <c r="E88" s="49"/>
      <c r="F88" s="223">
        <f>AD$80</f>
        <v>5.365074514098811E-2</v>
      </c>
      <c r="G88" s="223">
        <f>AE$80</f>
        <v>6.4194904935605784E-2</v>
      </c>
      <c r="H88" s="49"/>
      <c r="I88" s="75">
        <f>G88</f>
        <v>6.4194904935605784E-2</v>
      </c>
      <c r="J88" s="363">
        <f>I88+(10%-$I88)/12</f>
        <v>6.7178662857638641E-2</v>
      </c>
      <c r="K88" s="363">
        <f t="shared" ref="K88:U88" si="182">J88+(10%-$I88)/12</f>
        <v>7.0162420779671497E-2</v>
      </c>
      <c r="L88" s="363">
        <f t="shared" si="182"/>
        <v>7.3146178701704354E-2</v>
      </c>
      <c r="M88" s="363">
        <f t="shared" si="182"/>
        <v>7.612993662373721E-2</v>
      </c>
      <c r="N88" s="363">
        <f t="shared" si="182"/>
        <v>7.9113694545770066E-2</v>
      </c>
      <c r="O88" s="363">
        <f t="shared" si="182"/>
        <v>8.2097452467802923E-2</v>
      </c>
      <c r="P88" s="363">
        <f t="shared" si="182"/>
        <v>8.5081210389835779E-2</v>
      </c>
      <c r="Q88" s="363">
        <f t="shared" si="182"/>
        <v>8.8064968311868635E-2</v>
      </c>
      <c r="R88" s="363">
        <f t="shared" si="182"/>
        <v>9.1048726233901492E-2</v>
      </c>
      <c r="S88" s="363">
        <f t="shared" si="182"/>
        <v>9.4032484155934348E-2</v>
      </c>
      <c r="T88" s="363">
        <f t="shared" si="182"/>
        <v>9.7016242077967205E-2</v>
      </c>
      <c r="U88" s="363">
        <f t="shared" si="182"/>
        <v>0.10000000000000006</v>
      </c>
      <c r="W88" s="319"/>
      <c r="X88" s="333"/>
      <c r="Y88" s="333"/>
      <c r="Z88" s="333"/>
      <c r="AA88" s="333"/>
      <c r="AB88" s="333"/>
      <c r="AC88" s="333"/>
      <c r="AD88" s="333"/>
      <c r="AE88" s="333"/>
      <c r="AF88" s="333"/>
      <c r="AG88" s="333"/>
      <c r="AH88" s="333"/>
      <c r="AI88" s="333"/>
      <c r="AJ88" s="333"/>
    </row>
    <row r="89" spans="1:36" x14ac:dyDescent="0.35">
      <c r="A89" s="30" t="s">
        <v>128</v>
      </c>
      <c r="B89" s="31" t="s">
        <v>129</v>
      </c>
      <c r="C89" s="53">
        <f>G89</f>
        <v>71.018699315706982</v>
      </c>
      <c r="D89" s="53">
        <f>U89</f>
        <v>74.999999999999972</v>
      </c>
      <c r="E89" s="46"/>
      <c r="F89" s="210">
        <f>G89</f>
        <v>71.018699315706982</v>
      </c>
      <c r="G89" s="46">
        <f>G84/G90/365*1000</f>
        <v>71.018699315706982</v>
      </c>
      <c r="H89" s="46"/>
      <c r="I89" s="76">
        <f>G89</f>
        <v>71.018699315706982</v>
      </c>
      <c r="J89" s="4">
        <f>IF(I89&gt;Veehind!$B$16,I89,I89+(Veehind!$B$16-$I89)/12)</f>
        <v>71.350474372731398</v>
      </c>
      <c r="K89" s="4">
        <f>IF(J89&gt;Veehind!$B$16,J89,J89+(Veehind!$B$16-$I89)/12)</f>
        <v>71.682249429755814</v>
      </c>
      <c r="L89" s="4">
        <f>IF(K89&gt;Veehind!$B$16,K89,K89+(Veehind!$B$16-$I89)/12)</f>
        <v>72.014024486780229</v>
      </c>
      <c r="M89" s="4">
        <f>IF(L89&gt;Veehind!$B$16,L89,L89+(Veehind!$B$16-$I89)/12)</f>
        <v>72.345799543804645</v>
      </c>
      <c r="N89" s="4">
        <f>IF(M89&gt;Veehind!$B$16,M89,M89+(Veehind!$B$16-$I89)/12)</f>
        <v>72.677574600829061</v>
      </c>
      <c r="O89" s="4">
        <f>IF(N89&gt;Veehind!$B$16,N89,N89+(Veehind!$B$16-$I89)/12)</f>
        <v>73.009349657853477</v>
      </c>
      <c r="P89" s="4">
        <f>IF(O89&gt;Veehind!$B$16,O89,O89+(Veehind!$B$16-$I89)/12)</f>
        <v>73.341124714877893</v>
      </c>
      <c r="Q89" s="4">
        <f>IF(P89&gt;Veehind!$B$16,P89,P89+(Veehind!$B$16-$I89)/12)</f>
        <v>73.672899771902308</v>
      </c>
      <c r="R89" s="4">
        <f>IF(Q89&gt;Veehind!$B$16,Q89,Q89+(Veehind!$B$16-$I89)/12)</f>
        <v>74.004674828926724</v>
      </c>
      <c r="S89" s="4">
        <f>IF(R89&gt;Veehind!$B$16,R89,R89+(Veehind!$B$16-$I89)/12)</f>
        <v>74.33644988595114</v>
      </c>
      <c r="T89" s="4">
        <f>IF(S89&gt;Veehind!$B$16,S89,S89+(Veehind!$B$16-$I89)/12)</f>
        <v>74.668224942975556</v>
      </c>
      <c r="U89" s="4">
        <f>IF(T89&gt;Veehind!$B$16,T89,T89+(Veehind!$B$16-$I89)/12)</f>
        <v>74.999999999999972</v>
      </c>
    </row>
    <row r="90" spans="1:36" x14ac:dyDescent="0.35">
      <c r="A90" s="77" t="s">
        <v>136</v>
      </c>
      <c r="B90" s="78" t="s">
        <v>137</v>
      </c>
      <c r="C90" s="355">
        <f>G90</f>
        <v>1136.94</v>
      </c>
      <c r="D90" s="355">
        <f>U90</f>
        <v>2633.2837474647322</v>
      </c>
      <c r="E90" s="213">
        <f>VLOOKUP($A80,Elanikud!$A$1:$S$20,Elanikud!B$21,FALSE)</f>
        <v>0</v>
      </c>
      <c r="F90" s="213">
        <f>F84*1000/365/F89</f>
        <v>608.8066657211233</v>
      </c>
      <c r="G90" s="213">
        <f>VLOOKUP($A80,Elanikud!$A$1:$S$20,Elanikud!D$21,FALSE)</f>
        <v>1136.94</v>
      </c>
      <c r="H90" s="213">
        <f>VLOOKUP($A80,Elanikud!$A$1:$S$20,Elanikud!E$21,FALSE)</f>
        <v>1355</v>
      </c>
      <c r="I90" s="62">
        <f>VLOOKUP($A80,Elanikud!$A$1:$S$20,Elanikud!E$21,FALSE)</f>
        <v>1355</v>
      </c>
      <c r="J90" s="241">
        <f>VLOOKUP($A80,Elanikud!$A$1:$S$20,Elanikud!F$21,FALSE)</f>
        <v>1639.8439742089026</v>
      </c>
      <c r="K90" s="241">
        <f>VLOOKUP($A80,Elanikud!$A$1:$S$20,Elanikud!G$21,FALSE)</f>
        <v>1926.4615603956663</v>
      </c>
      <c r="L90" s="241">
        <f>VLOOKUP($A80,Elanikud!$A$1:$S$20,Elanikud!H$21,FALSE)</f>
        <v>2214.6871688425772</v>
      </c>
      <c r="M90" s="241">
        <f>VLOOKUP($A80,Elanikud!$A$1:$S$20,Elanikud!I$21,FALSE)</f>
        <v>2504.4174599764765</v>
      </c>
      <c r="N90" s="241">
        <f>VLOOKUP($A80,Elanikud!$A$1:$S$20,Elanikud!J$21,FALSE)</f>
        <v>2521.056918018362</v>
      </c>
      <c r="O90" s="241">
        <f>VLOOKUP($A80,Elanikud!$A$1:$S$20,Elanikud!K$21,FALSE)</f>
        <v>2537.3501305393947</v>
      </c>
      <c r="P90" s="241">
        <f>VLOOKUP($A80,Elanikud!$A$1:$S$20,Elanikud!L$21,FALSE)</f>
        <v>2553.4741549081928</v>
      </c>
      <c r="Q90" s="241">
        <f>VLOOKUP($A80,Elanikud!$A$1:$S$20,Elanikud!M$21,FALSE)</f>
        <v>2569.4604679902877</v>
      </c>
      <c r="R90" s="241">
        <f>VLOOKUP($A80,Elanikud!$A$1:$S$20,Elanikud!N$21,FALSE)</f>
        <v>2585.3680889085531</v>
      </c>
      <c r="S90" s="241">
        <f>VLOOKUP($A80,Elanikud!$A$1:$S$20,Elanikud!O$21,FALSE)</f>
        <v>2601.2284945285201</v>
      </c>
      <c r="T90" s="241">
        <f>VLOOKUP($A80,Elanikud!$A$1:$S$20,Elanikud!P$21,FALSE)</f>
        <v>2617.1754615287</v>
      </c>
      <c r="U90" s="241">
        <f>VLOOKUP($A80,Elanikud!$A$1:$S$20,Elanikud!Q$21,FALSE)</f>
        <v>2633.2837474647322</v>
      </c>
    </row>
    <row r="91" spans="1:36" ht="15" thickBot="1" x14ac:dyDescent="0.4">
      <c r="A91" s="35" t="s">
        <v>43</v>
      </c>
      <c r="B91" s="33"/>
      <c r="C91" s="33"/>
      <c r="D91" s="3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W91" s="319"/>
      <c r="X91" s="658" t="s">
        <v>1043</v>
      </c>
      <c r="Y91" s="333"/>
      <c r="Z91" s="333"/>
      <c r="AA91" s="333"/>
      <c r="AB91" s="333"/>
      <c r="AC91" s="333"/>
      <c r="AD91" s="333"/>
      <c r="AE91" s="333"/>
      <c r="AF91" s="333"/>
      <c r="AG91" s="333"/>
      <c r="AH91" s="333"/>
      <c r="AI91" s="333"/>
      <c r="AJ91" s="333"/>
    </row>
    <row r="92" spans="1:36" ht="17" thickBot="1" x14ac:dyDescent="0.4">
      <c r="A92" s="30" t="s">
        <v>132</v>
      </c>
      <c r="B92" s="31" t="s">
        <v>125</v>
      </c>
      <c r="C92" s="53">
        <f t="shared" ref="C92:C97" si="183">G92/365</f>
        <v>189.17534246575343</v>
      </c>
      <c r="D92" s="53">
        <f t="shared" ref="D92:D97" si="184">U92/365</f>
        <v>724.5116483231734</v>
      </c>
      <c r="E92" s="71"/>
      <c r="F92" s="214">
        <f>SM!V23</f>
        <v>16838</v>
      </c>
      <c r="G92" s="214">
        <f>SM!W23</f>
        <v>69049</v>
      </c>
      <c r="H92" s="214">
        <f>SM!X23</f>
        <v>62342</v>
      </c>
      <c r="I92" s="47">
        <f>(I93+I96)/(100%-I98)</f>
        <v>142670.60977060458</v>
      </c>
      <c r="J92" s="4">
        <f t="shared" ref="J92" si="185">(J93+J96)/(100%-J98)</f>
        <v>173250.95762538756</v>
      </c>
      <c r="K92" s="4">
        <f t="shared" ref="K92" si="186">(K93+K96)/(100%-K98)</f>
        <v>214510.05294556226</v>
      </c>
      <c r="L92" s="4">
        <f t="shared" ref="L92" si="187">(L93+L96)/(100%-L98)</f>
        <v>249162.84261977152</v>
      </c>
      <c r="M92" s="4">
        <f t="shared" ref="M92" si="188">(M93+M96)/(100%-M98)</f>
        <v>259872.12743990691</v>
      </c>
      <c r="N92" s="4">
        <f t="shared" ref="N92" si="189">(N93+N96)/(100%-N98)</f>
        <v>260462.81154266582</v>
      </c>
      <c r="O92" s="4">
        <f t="shared" ref="O92" si="190">(O93+O96)/(100%-O98)</f>
        <v>261041.20427606013</v>
      </c>
      <c r="P92" s="4">
        <f t="shared" ref="P92" si="191">(P93+P96)/(100%-P98)</f>
        <v>261613.59099942402</v>
      </c>
      <c r="Q92" s="4">
        <f t="shared" ref="Q92" si="192">(Q93+Q96)/(100%-Q98)</f>
        <v>262181.08910997253</v>
      </c>
      <c r="R92" s="4">
        <f t="shared" ref="R92" si="193">(R93+R96)/(100%-R98)</f>
        <v>262745.79372748354</v>
      </c>
      <c r="S92" s="4">
        <f t="shared" ref="S92" si="194">(S93+S96)/(100%-S98)</f>
        <v>263308.82224917214</v>
      </c>
      <c r="T92" s="4">
        <f t="shared" ref="T92" si="195">(T93+T96)/(100%-T98)</f>
        <v>263874.92361320189</v>
      </c>
      <c r="U92" s="4">
        <f t="shared" ref="U92" si="196">(U93+U96)/(100%-U98)</f>
        <v>264446.75163795828</v>
      </c>
      <c r="W92" s="320"/>
      <c r="X92" s="656">
        <v>2021</v>
      </c>
      <c r="Y92" s="657">
        <v>2022</v>
      </c>
      <c r="Z92" s="657">
        <v>2023</v>
      </c>
      <c r="AA92" s="657">
        <v>2024</v>
      </c>
      <c r="AB92" s="657">
        <v>2025</v>
      </c>
      <c r="AC92" s="657">
        <v>2026</v>
      </c>
      <c r="AD92" s="335"/>
      <c r="AE92" s="335"/>
      <c r="AF92" s="335"/>
      <c r="AG92" s="335"/>
      <c r="AH92" s="335"/>
      <c r="AI92" s="335"/>
      <c r="AJ92" s="335"/>
    </row>
    <row r="93" spans="1:36" ht="17" thickBot="1" x14ac:dyDescent="0.4">
      <c r="A93" s="30" t="s">
        <v>133</v>
      </c>
      <c r="B93" s="31" t="s">
        <v>125</v>
      </c>
      <c r="C93" s="53">
        <f t="shared" si="183"/>
        <v>166.56309589041095</v>
      </c>
      <c r="D93" s="53">
        <f t="shared" si="184"/>
        <v>535.18685953005138</v>
      </c>
      <c r="E93" s="45"/>
      <c r="F93" s="45">
        <f>F94+F95</f>
        <v>17914.729999999996</v>
      </c>
      <c r="G93" s="45">
        <f>G94+G95</f>
        <v>60795.529999999992</v>
      </c>
      <c r="H93" s="45"/>
      <c r="I93" s="48">
        <f t="shared" ref="I93" si="197">I94+I95</f>
        <v>104011.09732795344</v>
      </c>
      <c r="J93" s="12">
        <f t="shared" ref="J93" si="198">J94+J95</f>
        <v>126946.35821904067</v>
      </c>
      <c r="K93" s="12">
        <f t="shared" ref="K93" si="199">K94+K95</f>
        <v>157890.6797091717</v>
      </c>
      <c r="L93" s="12">
        <f t="shared" ref="L93" si="200">L94+L95</f>
        <v>183880.27196482866</v>
      </c>
      <c r="M93" s="12">
        <f t="shared" ref="M93" si="201">M94+M95</f>
        <v>191912.23557993019</v>
      </c>
      <c r="N93" s="12">
        <f t="shared" ref="N93" si="202">N94+N95</f>
        <v>192355.24865699938</v>
      </c>
      <c r="O93" s="12">
        <f t="shared" ref="O93" si="203">O94+O95</f>
        <v>192789.04320704512</v>
      </c>
      <c r="P93" s="12">
        <f t="shared" ref="P93" si="204">P94+P95</f>
        <v>193218.33324956804</v>
      </c>
      <c r="Q93" s="12">
        <f t="shared" ref="Q93" si="205">Q94+Q95</f>
        <v>193643.95683247939</v>
      </c>
      <c r="R93" s="12">
        <f t="shared" ref="R93" si="206">R94+R95</f>
        <v>194067.48529561266</v>
      </c>
      <c r="S93" s="12">
        <f t="shared" ref="S93" si="207">S94+S95</f>
        <v>194489.75668687912</v>
      </c>
      <c r="T93" s="12">
        <f t="shared" ref="T93" si="208">T94+T95</f>
        <v>194914.33270990144</v>
      </c>
      <c r="U93" s="12">
        <f t="shared" ref="U93" si="209">U94+U95</f>
        <v>195343.20372846874</v>
      </c>
      <c r="X93" s="656">
        <v>6</v>
      </c>
      <c r="Y93" s="657">
        <v>29</v>
      </c>
      <c r="Z93" s="657">
        <v>51</v>
      </c>
      <c r="AA93" s="657">
        <v>73</v>
      </c>
      <c r="AB93" s="657">
        <v>96</v>
      </c>
      <c r="AC93" s="657">
        <v>114</v>
      </c>
    </row>
    <row r="94" spans="1:36" ht="17" thickBot="1" x14ac:dyDescent="0.4">
      <c r="A94" s="30" t="s">
        <v>134</v>
      </c>
      <c r="B94" s="31" t="s">
        <v>125</v>
      </c>
      <c r="C94" s="53">
        <f t="shared" si="183"/>
        <v>66.394191780821885</v>
      </c>
      <c r="D94" s="53">
        <f t="shared" si="184"/>
        <v>192.08000724642423</v>
      </c>
      <c r="E94" s="45"/>
      <c r="F94" s="45">
        <f>ABS(SUMIFS(SM!J:J,SM!$C:$C,"era",SM!$D:$D,$E80))</f>
        <v>10270.82</v>
      </c>
      <c r="G94" s="45">
        <f>ABS(SUMIFS(SM!K:K,SM!$C:$C,"era",SM!$D:$D,$E80))</f>
        <v>24233.87999999999</v>
      </c>
      <c r="H94" s="71"/>
      <c r="I94" s="47">
        <f t="shared" ref="I94:U94" si="210">I100*I99*365/1000</f>
        <v>34817.825646012767</v>
      </c>
      <c r="J94" s="4">
        <f t="shared" si="210"/>
        <v>42712.357135516766</v>
      </c>
      <c r="K94" s="4">
        <f t="shared" si="210"/>
        <v>50656.678625647786</v>
      </c>
      <c r="L94" s="4">
        <f t="shared" si="210"/>
        <v>58646.270881304765</v>
      </c>
      <c r="M94" s="4">
        <f t="shared" si="210"/>
        <v>66678.234496406265</v>
      </c>
      <c r="N94" s="4">
        <f t="shared" si="210"/>
        <v>67121.247573475455</v>
      </c>
      <c r="O94" s="4">
        <f t="shared" si="210"/>
        <v>67555.042123521198</v>
      </c>
      <c r="P94" s="4">
        <f t="shared" si="210"/>
        <v>67984.332166044129</v>
      </c>
      <c r="Q94" s="4">
        <f t="shared" si="210"/>
        <v>68409.955748955472</v>
      </c>
      <c r="R94" s="4">
        <f t="shared" si="210"/>
        <v>68833.484212088762</v>
      </c>
      <c r="S94" s="4">
        <f t="shared" si="210"/>
        <v>69255.75560335521</v>
      </c>
      <c r="T94" s="4">
        <f t="shared" si="210"/>
        <v>69680.33162637752</v>
      </c>
      <c r="U94" s="4">
        <f t="shared" si="210"/>
        <v>70109.202644944846</v>
      </c>
      <c r="X94" s="696">
        <f>X93*1000</f>
        <v>6000</v>
      </c>
      <c r="Y94" s="697">
        <f t="shared" ref="Y94:AC94" si="211">Y93*1000</f>
        <v>29000</v>
      </c>
      <c r="Z94" s="697">
        <f t="shared" si="211"/>
        <v>51000</v>
      </c>
      <c r="AA94" s="697">
        <f t="shared" si="211"/>
        <v>73000</v>
      </c>
      <c r="AB94" s="697">
        <f t="shared" si="211"/>
        <v>96000</v>
      </c>
      <c r="AC94" s="697">
        <f t="shared" si="211"/>
        <v>114000</v>
      </c>
      <c r="AD94" s="332">
        <f>AC94/365</f>
        <v>312.32876712328766</v>
      </c>
      <c r="AE94" s="332" t="s">
        <v>521</v>
      </c>
      <c r="AF94" s="332">
        <f>0.75*AD94*1000/77</f>
        <v>3042.1633161359186</v>
      </c>
    </row>
    <row r="95" spans="1:36" ht="17" thickBot="1" x14ac:dyDescent="0.4">
      <c r="A95" s="663" t="s">
        <v>1018</v>
      </c>
      <c r="B95" s="31" t="s">
        <v>125</v>
      </c>
      <c r="C95" s="53">
        <f t="shared" si="183"/>
        <v>100.16890410958905</v>
      </c>
      <c r="D95" s="53">
        <f t="shared" si="184"/>
        <v>343.10685228362712</v>
      </c>
      <c r="E95" s="45"/>
      <c r="F95" s="45">
        <f>ABS(SUMIFS(SM!J:J,SM!$C:$C,"jur",SM!$D:$D,$E80))</f>
        <v>7643.909999999998</v>
      </c>
      <c r="G95" s="45">
        <f>ABS(SUMIFS(SM!K:K,SM!$C:$C,"jur",SM!$D:$D,$E80))</f>
        <v>36561.65</v>
      </c>
      <c r="H95" s="214">
        <f>($G$95-$Y$97)/2+SM!X25</f>
        <v>34596.635840970339</v>
      </c>
      <c r="I95" s="61">
        <f>Z97+Z98</f>
        <v>69193.271681940678</v>
      </c>
      <c r="J95" s="476">
        <f t="shared" ref="J95:L95" si="212">AA97+AA98</f>
        <v>84234.001083523908</v>
      </c>
      <c r="K95" s="476">
        <f t="shared" si="212"/>
        <v>107234.00108352391</v>
      </c>
      <c r="L95" s="476">
        <f t="shared" si="212"/>
        <v>125234.00108352391</v>
      </c>
      <c r="M95" s="476">
        <f t="shared" ref="M95:U95" si="213">L95</f>
        <v>125234.00108352391</v>
      </c>
      <c r="N95" s="476">
        <f t="shared" si="213"/>
        <v>125234.00108352391</v>
      </c>
      <c r="O95" s="476">
        <f t="shared" si="213"/>
        <v>125234.00108352391</v>
      </c>
      <c r="P95" s="476">
        <f t="shared" si="213"/>
        <v>125234.00108352391</v>
      </c>
      <c r="Q95" s="476">
        <f t="shared" si="213"/>
        <v>125234.00108352391</v>
      </c>
      <c r="R95" s="476">
        <f t="shared" si="213"/>
        <v>125234.00108352391</v>
      </c>
      <c r="S95" s="476">
        <f t="shared" si="213"/>
        <v>125234.00108352391</v>
      </c>
      <c r="T95" s="476">
        <f t="shared" si="213"/>
        <v>125234.00108352391</v>
      </c>
      <c r="U95" s="476">
        <f t="shared" si="213"/>
        <v>125234.00108352391</v>
      </c>
      <c r="V95" s="662" t="s">
        <v>1017</v>
      </c>
      <c r="X95" s="658" t="s">
        <v>1015</v>
      </c>
      <c r="AD95" s="332">
        <f>85000/365</f>
        <v>232.87671232876713</v>
      </c>
      <c r="AE95" s="698">
        <f>AD95/AD94</f>
        <v>0.74561403508771928</v>
      </c>
    </row>
    <row r="96" spans="1:36" s="70" customFormat="1" ht="15" thickBot="1" x14ac:dyDescent="0.4">
      <c r="A96" s="260" t="s">
        <v>525</v>
      </c>
      <c r="B96" s="256" t="s">
        <v>521</v>
      </c>
      <c r="C96" s="269">
        <f t="shared" si="183"/>
        <v>12.161835616438355</v>
      </c>
      <c r="D96" s="269">
        <f t="shared" si="184"/>
        <v>8.1968767123287662</v>
      </c>
      <c r="E96" s="270"/>
      <c r="F96" s="270">
        <f>ABS(SUMIFS(SM!J:J,SM!$C:$C,"OMA",SM!$D:$D,$E80))</f>
        <v>1544.65</v>
      </c>
      <c r="G96" s="270">
        <f>ABS(SUMIFS(SM!K:K,SM!$C:$C,"OMA",SM!$D:$D,$E80))</f>
        <v>4439.07</v>
      </c>
      <c r="H96" s="270"/>
      <c r="I96" s="276">
        <f>IFERROR(AVERAGE(E96:G96),0)</f>
        <v>2991.8599999999997</v>
      </c>
      <c r="J96" s="264">
        <f t="shared" ref="J96:U96" si="214">I96</f>
        <v>2991.8599999999997</v>
      </c>
      <c r="K96" s="264">
        <f t="shared" si="214"/>
        <v>2991.8599999999997</v>
      </c>
      <c r="L96" s="264">
        <f t="shared" si="214"/>
        <v>2991.8599999999997</v>
      </c>
      <c r="M96" s="264">
        <f t="shared" si="214"/>
        <v>2991.8599999999997</v>
      </c>
      <c r="N96" s="264">
        <f t="shared" si="214"/>
        <v>2991.8599999999997</v>
      </c>
      <c r="O96" s="264">
        <f t="shared" si="214"/>
        <v>2991.8599999999997</v>
      </c>
      <c r="P96" s="264">
        <f t="shared" si="214"/>
        <v>2991.8599999999997</v>
      </c>
      <c r="Q96" s="264">
        <f t="shared" si="214"/>
        <v>2991.8599999999997</v>
      </c>
      <c r="R96" s="264">
        <f t="shared" si="214"/>
        <v>2991.8599999999997</v>
      </c>
      <c r="S96" s="264">
        <f t="shared" si="214"/>
        <v>2991.8599999999997</v>
      </c>
      <c r="T96" s="264">
        <f t="shared" si="214"/>
        <v>2991.8599999999997</v>
      </c>
      <c r="U96" s="264">
        <f t="shared" si="214"/>
        <v>2991.8599999999997</v>
      </c>
      <c r="W96" s="318"/>
      <c r="X96" s="656">
        <v>2021</v>
      </c>
      <c r="Y96" s="657">
        <v>2022</v>
      </c>
      <c r="Z96" s="657">
        <v>2023</v>
      </c>
      <c r="AA96" s="657">
        <v>2024</v>
      </c>
      <c r="AB96" s="657">
        <v>2025</v>
      </c>
      <c r="AC96" s="657">
        <v>2026</v>
      </c>
      <c r="AD96" s="332"/>
      <c r="AE96" s="332"/>
      <c r="AF96" s="332"/>
      <c r="AG96" s="332"/>
      <c r="AH96" s="332"/>
      <c r="AI96" s="332"/>
      <c r="AJ96" s="332"/>
    </row>
    <row r="97" spans="1:36" ht="17" thickBot="1" x14ac:dyDescent="0.4">
      <c r="A97" s="30" t="s">
        <v>135</v>
      </c>
      <c r="B97" s="31" t="s">
        <v>125</v>
      </c>
      <c r="C97" s="53">
        <f t="shared" si="183"/>
        <v>10.450410958904133</v>
      </c>
      <c r="D97" s="53">
        <f t="shared" si="184"/>
        <v>181.12791208079335</v>
      </c>
      <c r="E97" s="71"/>
      <c r="F97" s="185">
        <f t="shared" ref="F97" si="215">F92-F93-F96</f>
        <v>-2621.379999999996</v>
      </c>
      <c r="G97" s="214">
        <f t="shared" ref="G97" si="216">G92-G93-G96</f>
        <v>3814.4000000000087</v>
      </c>
      <c r="H97" s="45"/>
      <c r="I97" s="47">
        <f>I98*I92</f>
        <v>35667.652442651146</v>
      </c>
      <c r="J97" s="4">
        <f t="shared" ref="J97" si="217">J98*J92</f>
        <v>43312.739406346889</v>
      </c>
      <c r="K97" s="4">
        <f t="shared" ref="K97" si="218">K98*K92</f>
        <v>53627.513236390565</v>
      </c>
      <c r="L97" s="4">
        <f t="shared" ref="L97" si="219">L98*L92</f>
        <v>62290.710654942879</v>
      </c>
      <c r="M97" s="4">
        <f t="shared" ref="M97" si="220">M98*M92</f>
        <v>64968.031859976727</v>
      </c>
      <c r="N97" s="4">
        <f t="shared" ref="N97" si="221">N98*N92</f>
        <v>65115.702885666455</v>
      </c>
      <c r="O97" s="4">
        <f t="shared" ref="O97" si="222">O98*O92</f>
        <v>65260.301069015033</v>
      </c>
      <c r="P97" s="4">
        <f t="shared" ref="P97" si="223">P98*P92</f>
        <v>65403.397749856005</v>
      </c>
      <c r="Q97" s="4">
        <f t="shared" ref="Q97" si="224">Q98*Q92</f>
        <v>65545.272277493132</v>
      </c>
      <c r="R97" s="4">
        <f t="shared" ref="R97" si="225">R98*R92</f>
        <v>65686.448431870886</v>
      </c>
      <c r="S97" s="4">
        <f t="shared" ref="S97" si="226">S98*S92</f>
        <v>65827.205562293035</v>
      </c>
      <c r="T97" s="4">
        <f t="shared" ref="T97" si="227">T98*T92</f>
        <v>65968.730903300471</v>
      </c>
      <c r="U97" s="4">
        <f t="shared" ref="U97" si="228">U98*U92</f>
        <v>66111.68790948957</v>
      </c>
      <c r="X97" s="659">
        <f>SM!V25</f>
        <v>1858.4190165462596</v>
      </c>
      <c r="Y97" s="659">
        <f>SM!W25</f>
        <v>25327.648916476101</v>
      </c>
      <c r="Z97" s="660">
        <f>SM!X25*2</f>
        <v>57959.270598416777</v>
      </c>
      <c r="AA97" s="660">
        <f>AA94</f>
        <v>73000</v>
      </c>
      <c r="AB97" s="660">
        <f t="shared" ref="AB97:AC97" si="229">AB94</f>
        <v>96000</v>
      </c>
      <c r="AC97" s="660">
        <f t="shared" si="229"/>
        <v>114000</v>
      </c>
    </row>
    <row r="98" spans="1:36" ht="15" thickBot="1" x14ac:dyDescent="0.4">
      <c r="A98" s="30" t="s">
        <v>135</v>
      </c>
      <c r="B98" s="31" t="s">
        <v>131</v>
      </c>
      <c r="C98" s="73">
        <f>G98</f>
        <v>5.5241929644165862E-2</v>
      </c>
      <c r="D98" s="54">
        <f>U98</f>
        <v>0.25</v>
      </c>
      <c r="E98" s="50"/>
      <c r="F98" s="50">
        <f>IFERROR(F97/F92,"")</f>
        <v>-0.15568238508136334</v>
      </c>
      <c r="G98" s="50">
        <f>IFERROR(G97/G92,"")</f>
        <v>5.5241929644165862E-2</v>
      </c>
      <c r="H98" s="50">
        <f>IFERROR(H97/H92,"")</f>
        <v>0</v>
      </c>
      <c r="I98" s="227">
        <f>$AK$47</f>
        <v>0.25</v>
      </c>
      <c r="J98" s="38">
        <f t="shared" ref="J98:U98" si="230">I98</f>
        <v>0.25</v>
      </c>
      <c r="K98" s="38">
        <f t="shared" si="230"/>
        <v>0.25</v>
      </c>
      <c r="L98" s="38">
        <f t="shared" si="230"/>
        <v>0.25</v>
      </c>
      <c r="M98" s="38">
        <f t="shared" si="230"/>
        <v>0.25</v>
      </c>
      <c r="N98" s="38">
        <f t="shared" si="230"/>
        <v>0.25</v>
      </c>
      <c r="O98" s="38">
        <f t="shared" si="230"/>
        <v>0.25</v>
      </c>
      <c r="P98" s="38">
        <f t="shared" si="230"/>
        <v>0.25</v>
      </c>
      <c r="Q98" s="38">
        <f t="shared" si="230"/>
        <v>0.25</v>
      </c>
      <c r="R98" s="38">
        <f t="shared" si="230"/>
        <v>0.25</v>
      </c>
      <c r="S98" s="38">
        <f t="shared" si="230"/>
        <v>0.25</v>
      </c>
      <c r="T98" s="38">
        <f t="shared" si="230"/>
        <v>0.25</v>
      </c>
      <c r="U98" s="38">
        <f t="shared" si="230"/>
        <v>0.25</v>
      </c>
      <c r="W98" s="661" t="s">
        <v>1016</v>
      </c>
      <c r="X98" s="659">
        <f>F95-X97</f>
        <v>5785.4909834537384</v>
      </c>
      <c r="Y98" s="659">
        <f>G95-Y97</f>
        <v>11234.001083523901</v>
      </c>
      <c r="Z98" s="660">
        <f>Y98</f>
        <v>11234.001083523901</v>
      </c>
      <c r="AA98" s="660">
        <f t="shared" ref="AA98:AC98" si="231">Z98</f>
        <v>11234.001083523901</v>
      </c>
      <c r="AB98" s="660">
        <f t="shared" si="231"/>
        <v>11234.001083523901</v>
      </c>
      <c r="AC98" s="660">
        <f t="shared" si="231"/>
        <v>11234.001083523901</v>
      </c>
    </row>
    <row r="99" spans="1:36" s="70" customFormat="1" x14ac:dyDescent="0.35">
      <c r="A99" s="181" t="s">
        <v>128</v>
      </c>
      <c r="B99" s="182" t="s">
        <v>129</v>
      </c>
      <c r="C99" s="211">
        <f>G99</f>
        <v>76.866481176278</v>
      </c>
      <c r="D99" s="211">
        <f>U99</f>
        <v>76.866481176278</v>
      </c>
      <c r="E99" s="71"/>
      <c r="F99" s="214">
        <f>G99</f>
        <v>76.866481176278</v>
      </c>
      <c r="G99" s="71">
        <f>G94/G100/365*1000</f>
        <v>76.866481176278</v>
      </c>
      <c r="H99" s="71"/>
      <c r="I99" s="76">
        <f>G99</f>
        <v>76.866481176278</v>
      </c>
      <c r="J99" s="4">
        <f>IF(I99=0,0,IF(I99&gt;Veehind!$B$16,I99,I99+(Veehind!$B$16-$I99)/12))</f>
        <v>76.866481176278</v>
      </c>
      <c r="K99" s="4">
        <f>IF(J99=0,0,IF(J99&gt;Veehind!$B$16,J99,J99+(Veehind!$B$16-$I99)/12))</f>
        <v>76.866481176278</v>
      </c>
      <c r="L99" s="4">
        <f>IF(K99=0,0,IF(K99&gt;Veehind!$B$16,K99,K99+(Veehind!$B$16-$I99)/12))</f>
        <v>76.866481176278</v>
      </c>
      <c r="M99" s="4">
        <f>IF(L99=0,0,IF(L99&gt;Veehind!$B$16,L99,L99+(Veehind!$B$16-$I99)/12))</f>
        <v>76.866481176278</v>
      </c>
      <c r="N99" s="4">
        <f>IF(M99=0,0,IF(M99&gt;Veehind!$B$16,M99,M99+(Veehind!$B$16-$I99)/12))</f>
        <v>76.866481176278</v>
      </c>
      <c r="O99" s="4">
        <f>IF(N99=0,0,IF(N99&gt;Veehind!$B$16,N99,N99+(Veehind!$B$16-$I99)/12))</f>
        <v>76.866481176278</v>
      </c>
      <c r="P99" s="4">
        <f>IF(O99=0,0,IF(O99&gt;Veehind!$B$16,O99,O99+(Veehind!$B$16-$I99)/12))</f>
        <v>76.866481176278</v>
      </c>
      <c r="Q99" s="4">
        <f>IF(P99=0,0,IF(P99&gt;Veehind!$B$16,P99,P99+(Veehind!$B$16-$I99)/12))</f>
        <v>76.866481176278</v>
      </c>
      <c r="R99" s="4">
        <f>IF(Q99=0,0,IF(Q99&gt;Veehind!$B$16,Q99,Q99+(Veehind!$B$16-$I99)/12))</f>
        <v>76.866481176278</v>
      </c>
      <c r="S99" s="4">
        <f>IF(R99=0,0,IF(R99&gt;Veehind!$B$16,R99,R99+(Veehind!$B$16-$I99)/12))</f>
        <v>76.866481176278</v>
      </c>
      <c r="T99" s="4">
        <f>IF(S99=0,0,IF(S99&gt;Veehind!$B$16,S99,S99+(Veehind!$B$16-$I99)/12))</f>
        <v>76.866481176278</v>
      </c>
      <c r="U99" s="4">
        <f>IF(T99=0,0,IF(T99&gt;Veehind!$B$16,T99,T99+(Veehind!$B$16-$I99)/12))</f>
        <v>76.866481176278</v>
      </c>
      <c r="W99" s="321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</row>
    <row r="100" spans="1:36" s="242" customFormat="1" x14ac:dyDescent="0.35">
      <c r="A100" s="77" t="s">
        <v>136</v>
      </c>
      <c r="B100" s="78" t="s">
        <v>137</v>
      </c>
      <c r="C100" s="355">
        <f>G100</f>
        <v>863.76</v>
      </c>
      <c r="D100" s="355">
        <f>U100</f>
        <v>2498.8786309331231</v>
      </c>
      <c r="E100" s="215"/>
      <c r="F100" s="215">
        <f>F94*1000/365/F99</f>
        <v>366.07936835537703</v>
      </c>
      <c r="G100" s="215">
        <f>VLOOKUP($A80,Elanikud!$A$22:$S$41,Elanikud!D$21,FALSE)</f>
        <v>863.76</v>
      </c>
      <c r="H100" s="215">
        <f>VLOOKUP($A80,Elanikud!$A$22:$S$41,Elanikud!E$21,FALSE)</f>
        <v>1241</v>
      </c>
      <c r="I100" s="62">
        <f>VLOOKUP($A80,Elanikud!$A$22:$S$41,Elanikud!E$21,FALSE)</f>
        <v>1241</v>
      </c>
      <c r="J100" s="241">
        <f>VLOOKUP($A80,Elanikud!$A$22:$S$41,Elanikud!F$21,FALSE)</f>
        <v>1522.3821195522128</v>
      </c>
      <c r="K100" s="241">
        <f>VLOOKUP($A80,Elanikud!$A$22:$S$41,Elanikud!G$21,FALSE)</f>
        <v>1805.5388872805161</v>
      </c>
      <c r="L100" s="241">
        <f>VLOOKUP($A80,Elanikud!$A$22:$S$41,Elanikud!H$21,FALSE)</f>
        <v>2090.3092256145455</v>
      </c>
      <c r="M100" s="241">
        <f>VLOOKUP($A80,Elanikud!$A$22:$S$41,Elanikud!I$21,FALSE)</f>
        <v>2376.5897920025977</v>
      </c>
      <c r="N100" s="241">
        <f>VLOOKUP($A80,Elanikud!$A$22:$S$41,Elanikud!J$21,FALSE)</f>
        <v>2392.3799574837039</v>
      </c>
      <c r="O100" s="241">
        <f>VLOOKUP($A80,Elanikud!$A$22:$S$41,Elanikud!K$21,FALSE)</f>
        <v>2407.8415501196132</v>
      </c>
      <c r="P100" s="241">
        <f>VLOOKUP($A80,Elanikud!$A$22:$S$41,Elanikud!L$21,FALSE)</f>
        <v>2423.1425901152561</v>
      </c>
      <c r="Q100" s="241">
        <f>VLOOKUP($A80,Elanikud!$A$22:$S$41,Elanikud!M$21,FALSE)</f>
        <v>2438.3129477292869</v>
      </c>
      <c r="R100" s="241">
        <f>VLOOKUP($A80,Elanikud!$A$22:$S$41,Elanikud!N$21,FALSE)</f>
        <v>2453.4086296966816</v>
      </c>
      <c r="S100" s="241">
        <f>VLOOKUP($A80,Elanikud!$A$22:$S$41,Elanikud!O$21,FALSE)</f>
        <v>2468.459506276095</v>
      </c>
      <c r="T100" s="241">
        <f>VLOOKUP($A80,Elanikud!$A$22:$S$41,Elanikud!P$21,FALSE)</f>
        <v>2483.5925260668073</v>
      </c>
      <c r="U100" s="241">
        <f>VLOOKUP($A80,Elanikud!$A$22:$S$41,Elanikud!Q$21,FALSE)</f>
        <v>2498.8786309331231</v>
      </c>
      <c r="V100" s="7"/>
      <c r="W100" s="318"/>
      <c r="X100" s="237">
        <v>77</v>
      </c>
      <c r="Y100" s="237">
        <f>359+73</f>
        <v>432</v>
      </c>
      <c r="Z100" s="332"/>
      <c r="AA100" s="332"/>
      <c r="AB100" s="332"/>
      <c r="AC100" s="332"/>
      <c r="AD100" s="332"/>
      <c r="AE100" s="332"/>
      <c r="AF100" s="332"/>
      <c r="AG100" s="332"/>
      <c r="AH100" s="332"/>
      <c r="AI100" s="332"/>
      <c r="AJ100" s="332"/>
    </row>
    <row r="101" spans="1:36" collapsed="1" x14ac:dyDescent="0.35">
      <c r="A101" s="36" t="s">
        <v>482</v>
      </c>
      <c r="B101" s="36"/>
      <c r="C101" s="36"/>
      <c r="D101" s="36"/>
      <c r="E101" s="41"/>
      <c r="F101" s="41"/>
      <c r="G101" s="41"/>
      <c r="H101" s="41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X101" s="332">
        <f>X97*0.75*1000/365/X100</f>
        <v>49.593106650407215</v>
      </c>
      <c r="Y101" s="332">
        <f>Y97*0.75*1000/365/Y100</f>
        <v>120.47017178689165</v>
      </c>
    </row>
    <row r="102" spans="1:36" outlineLevel="1" x14ac:dyDescent="0.35">
      <c r="A102" s="34" t="s">
        <v>21</v>
      </c>
      <c r="B102" s="32"/>
      <c r="C102" s="32"/>
      <c r="D102" s="32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36" ht="16.5" outlineLevel="1" x14ac:dyDescent="0.35">
      <c r="A103" s="30" t="s">
        <v>124</v>
      </c>
      <c r="B103" s="31" t="s">
        <v>125</v>
      </c>
      <c r="C103" s="53">
        <f t="shared" ref="C103:C108" si="232">G103/365</f>
        <v>19.638356164383563</v>
      </c>
      <c r="D103" s="72">
        <f t="shared" ref="D103:D108" si="233">U103/365</f>
        <v>21.031796613245334</v>
      </c>
      <c r="E103" s="210">
        <f>E104*100%/(100%-E109)</f>
        <v>7643.9956147220046</v>
      </c>
      <c r="F103" s="210">
        <f>F104*100%/(100%-F109)</f>
        <v>7456.5162098668761</v>
      </c>
      <c r="G103" s="210">
        <f>G104+G108</f>
        <v>7168</v>
      </c>
      <c r="H103" s="46"/>
      <c r="I103" s="76">
        <f t="shared" ref="I103:U103" si="234">(I104+I107)/(100%-I109)</f>
        <v>7094.4444444444434</v>
      </c>
      <c r="J103" s="4">
        <f t="shared" si="234"/>
        <v>7148.0793565591157</v>
      </c>
      <c r="K103" s="4">
        <f t="shared" si="234"/>
        <v>7200.4640108849735</v>
      </c>
      <c r="L103" s="4">
        <f t="shared" si="234"/>
        <v>7251.3919428330391</v>
      </c>
      <c r="M103" s="4">
        <f t="shared" si="234"/>
        <v>7300.9319739329703</v>
      </c>
      <c r="N103" s="4">
        <f t="shared" si="234"/>
        <v>7349.4396820880083</v>
      </c>
      <c r="O103" s="4">
        <f t="shared" si="234"/>
        <v>7396.9380078080358</v>
      </c>
      <c r="P103" s="4">
        <f t="shared" si="234"/>
        <v>7443.9431125655074</v>
      </c>
      <c r="Q103" s="4">
        <f t="shared" si="234"/>
        <v>7490.5467583999634</v>
      </c>
      <c r="R103" s="4">
        <f t="shared" si="234"/>
        <v>7536.9209991355538</v>
      </c>
      <c r="S103" s="4">
        <f t="shared" si="234"/>
        <v>7583.1575968118259</v>
      </c>
      <c r="T103" s="4">
        <f t="shared" si="234"/>
        <v>7629.64654009685</v>
      </c>
      <c r="U103" s="4">
        <f t="shared" si="234"/>
        <v>7676.6057638345465</v>
      </c>
    </row>
    <row r="104" spans="1:36" ht="16.5" outlineLevel="1" x14ac:dyDescent="0.35">
      <c r="A104" s="30" t="s">
        <v>126</v>
      </c>
      <c r="B104" s="31" t="s">
        <v>125</v>
      </c>
      <c r="C104" s="53">
        <f t="shared" si="232"/>
        <v>17.493150684931507</v>
      </c>
      <c r="D104" s="53">
        <f t="shared" si="233"/>
        <v>18.928616951920802</v>
      </c>
      <c r="E104" s="224">
        <f>E105+E106</f>
        <v>6809</v>
      </c>
      <c r="F104" s="224">
        <f>F105+F106</f>
        <v>6642</v>
      </c>
      <c r="G104" s="224">
        <f>G105+G106</f>
        <v>6385</v>
      </c>
      <c r="H104" s="46"/>
      <c r="I104" s="48">
        <f t="shared" ref="I104:U104" si="235">I105+I106</f>
        <v>6384.9999999999991</v>
      </c>
      <c r="J104" s="12">
        <f t="shared" si="235"/>
        <v>6433.2714209032047</v>
      </c>
      <c r="K104" s="12">
        <f t="shared" si="235"/>
        <v>6480.4176097964764</v>
      </c>
      <c r="L104" s="12">
        <f t="shared" si="235"/>
        <v>6526.2527485497358</v>
      </c>
      <c r="M104" s="12">
        <f t="shared" si="235"/>
        <v>6570.8387765396737</v>
      </c>
      <c r="N104" s="12">
        <f t="shared" si="235"/>
        <v>6614.4957138792079</v>
      </c>
      <c r="O104" s="12">
        <f t="shared" si="235"/>
        <v>6657.2442070272327</v>
      </c>
      <c r="P104" s="12">
        <f t="shared" si="235"/>
        <v>6699.5488013089571</v>
      </c>
      <c r="Q104" s="12">
        <f t="shared" si="235"/>
        <v>6741.4920825599675</v>
      </c>
      <c r="R104" s="12">
        <f t="shared" si="235"/>
        <v>6783.2288992219983</v>
      </c>
      <c r="S104" s="12">
        <f t="shared" si="235"/>
        <v>6824.8418371306434</v>
      </c>
      <c r="T104" s="12">
        <f t="shared" si="235"/>
        <v>6866.6818860871654</v>
      </c>
      <c r="U104" s="12">
        <f t="shared" si="235"/>
        <v>6908.9451874510924</v>
      </c>
    </row>
    <row r="105" spans="1:36" ht="16.5" outlineLevel="1" x14ac:dyDescent="0.35">
      <c r="A105" s="30" t="s">
        <v>127</v>
      </c>
      <c r="B105" s="31" t="s">
        <v>125</v>
      </c>
      <c r="C105" s="53">
        <f t="shared" si="232"/>
        <v>17.493150684931507</v>
      </c>
      <c r="D105" s="53">
        <f t="shared" si="233"/>
        <v>18.928616951920802</v>
      </c>
      <c r="E105" s="222">
        <v>6809</v>
      </c>
      <c r="F105" s="222">
        <v>6642</v>
      </c>
      <c r="G105" s="222">
        <v>6385</v>
      </c>
      <c r="H105" s="64"/>
      <c r="I105" s="47">
        <f t="shared" ref="I105:U105" si="236">I110*I111/1000*365</f>
        <v>6384.9999999999991</v>
      </c>
      <c r="J105" s="4">
        <f t="shared" si="236"/>
        <v>6433.2714209032047</v>
      </c>
      <c r="K105" s="4">
        <f t="shared" si="236"/>
        <v>6480.4176097964764</v>
      </c>
      <c r="L105" s="4">
        <f t="shared" si="236"/>
        <v>6526.2527485497358</v>
      </c>
      <c r="M105" s="4">
        <f t="shared" si="236"/>
        <v>6570.8387765396737</v>
      </c>
      <c r="N105" s="4">
        <f t="shared" si="236"/>
        <v>6614.4957138792079</v>
      </c>
      <c r="O105" s="4">
        <f t="shared" si="236"/>
        <v>6657.2442070272327</v>
      </c>
      <c r="P105" s="4">
        <f t="shared" si="236"/>
        <v>6699.5488013089571</v>
      </c>
      <c r="Q105" s="4">
        <f t="shared" si="236"/>
        <v>6741.4920825599675</v>
      </c>
      <c r="R105" s="4">
        <f t="shared" si="236"/>
        <v>6783.2288992219983</v>
      </c>
      <c r="S105" s="4">
        <f t="shared" si="236"/>
        <v>6824.8418371306434</v>
      </c>
      <c r="T105" s="4">
        <f t="shared" si="236"/>
        <v>6866.6818860871654</v>
      </c>
      <c r="U105" s="4">
        <f t="shared" si="236"/>
        <v>6908.9451874510924</v>
      </c>
    </row>
    <row r="106" spans="1:36" ht="16.5" outlineLevel="1" x14ac:dyDescent="0.35">
      <c r="A106" s="30" t="s">
        <v>497</v>
      </c>
      <c r="B106" s="31" t="s">
        <v>125</v>
      </c>
      <c r="C106" s="53">
        <f t="shared" si="232"/>
        <v>0</v>
      </c>
      <c r="D106" s="53">
        <f t="shared" si="233"/>
        <v>0</v>
      </c>
      <c r="E106" s="222">
        <v>0</v>
      </c>
      <c r="F106" s="222">
        <v>0</v>
      </c>
      <c r="G106" s="222">
        <v>0</v>
      </c>
      <c r="H106" s="64"/>
      <c r="I106" s="61">
        <f>G106</f>
        <v>0</v>
      </c>
      <c r="J106" s="4">
        <f t="shared" ref="J106:U106" si="237">I106</f>
        <v>0</v>
      </c>
      <c r="K106" s="4">
        <f t="shared" si="237"/>
        <v>0</v>
      </c>
      <c r="L106" s="4">
        <f t="shared" si="237"/>
        <v>0</v>
      </c>
      <c r="M106" s="4">
        <f t="shared" si="237"/>
        <v>0</v>
      </c>
      <c r="N106" s="4">
        <f t="shared" si="237"/>
        <v>0</v>
      </c>
      <c r="O106" s="4">
        <f t="shared" si="237"/>
        <v>0</v>
      </c>
      <c r="P106" s="4">
        <f t="shared" si="237"/>
        <v>0</v>
      </c>
      <c r="Q106" s="4">
        <f t="shared" si="237"/>
        <v>0</v>
      </c>
      <c r="R106" s="4">
        <f t="shared" si="237"/>
        <v>0</v>
      </c>
      <c r="S106" s="4">
        <f t="shared" si="237"/>
        <v>0</v>
      </c>
      <c r="T106" s="4">
        <f t="shared" si="237"/>
        <v>0</v>
      </c>
      <c r="U106" s="4">
        <f t="shared" si="237"/>
        <v>0</v>
      </c>
    </row>
    <row r="107" spans="1:36" s="244" customFormat="1" ht="16.5" outlineLevel="1" x14ac:dyDescent="0.35">
      <c r="A107" s="260" t="s">
        <v>525</v>
      </c>
      <c r="B107" s="256" t="s">
        <v>520</v>
      </c>
      <c r="C107" s="257">
        <f t="shared" si="232"/>
        <v>0</v>
      </c>
      <c r="D107" s="257">
        <f t="shared" si="233"/>
        <v>0</v>
      </c>
      <c r="E107" s="222">
        <v>0</v>
      </c>
      <c r="F107" s="222">
        <v>0</v>
      </c>
      <c r="G107" s="222">
        <v>0</v>
      </c>
      <c r="H107" s="258"/>
      <c r="I107" s="275">
        <f>AVERAGE(E107:G107)</f>
        <v>0</v>
      </c>
      <c r="J107" s="259">
        <f t="shared" ref="J107:U107" si="238">I107</f>
        <v>0</v>
      </c>
      <c r="K107" s="259">
        <f t="shared" si="238"/>
        <v>0</v>
      </c>
      <c r="L107" s="259">
        <f t="shared" si="238"/>
        <v>0</v>
      </c>
      <c r="M107" s="259">
        <f t="shared" si="238"/>
        <v>0</v>
      </c>
      <c r="N107" s="259">
        <f t="shared" si="238"/>
        <v>0</v>
      </c>
      <c r="O107" s="259">
        <f t="shared" si="238"/>
        <v>0</v>
      </c>
      <c r="P107" s="259">
        <f t="shared" si="238"/>
        <v>0</v>
      </c>
      <c r="Q107" s="259">
        <f t="shared" si="238"/>
        <v>0</v>
      </c>
      <c r="R107" s="259">
        <f t="shared" si="238"/>
        <v>0</v>
      </c>
      <c r="S107" s="259">
        <f t="shared" si="238"/>
        <v>0</v>
      </c>
      <c r="T107" s="259">
        <f t="shared" si="238"/>
        <v>0</v>
      </c>
      <c r="U107" s="259">
        <f t="shared" si="238"/>
        <v>0</v>
      </c>
      <c r="W107" s="318"/>
      <c r="X107" s="332"/>
      <c r="Y107" s="332"/>
      <c r="Z107" s="332"/>
      <c r="AA107" s="332"/>
      <c r="AB107" s="332"/>
      <c r="AC107" s="332"/>
      <c r="AD107" s="332"/>
      <c r="AE107" s="332"/>
      <c r="AF107" s="332"/>
      <c r="AG107" s="332"/>
      <c r="AH107" s="332"/>
      <c r="AI107" s="332"/>
      <c r="AJ107" s="332"/>
    </row>
    <row r="108" spans="1:36" ht="16.5" outlineLevel="1" x14ac:dyDescent="0.35">
      <c r="A108" s="30" t="s">
        <v>130</v>
      </c>
      <c r="B108" s="31" t="s">
        <v>125</v>
      </c>
      <c r="C108" s="225">
        <f t="shared" si="232"/>
        <v>2.1452054794520548</v>
      </c>
      <c r="D108" s="226">
        <f t="shared" si="233"/>
        <v>2.1031796613245333</v>
      </c>
      <c r="E108" s="210">
        <f>E109*E103</f>
        <v>834.99561472200469</v>
      </c>
      <c r="F108" s="210">
        <f>F109*F103</f>
        <v>814.51620986687556</v>
      </c>
      <c r="G108" s="28">
        <v>783</v>
      </c>
      <c r="H108" s="64"/>
      <c r="I108" s="47">
        <f t="shared" ref="I108:U108" si="239">I109*I103</f>
        <v>709.44444444444434</v>
      </c>
      <c r="J108" s="4">
        <f t="shared" si="239"/>
        <v>714.80793565591159</v>
      </c>
      <c r="K108" s="4">
        <f t="shared" si="239"/>
        <v>720.04640108849742</v>
      </c>
      <c r="L108" s="4">
        <f t="shared" si="239"/>
        <v>725.13919428330394</v>
      </c>
      <c r="M108" s="4">
        <f t="shared" si="239"/>
        <v>730.09319739329703</v>
      </c>
      <c r="N108" s="4">
        <f t="shared" si="239"/>
        <v>734.94396820880092</v>
      </c>
      <c r="O108" s="4">
        <f t="shared" si="239"/>
        <v>739.6938007808036</v>
      </c>
      <c r="P108" s="4">
        <f t="shared" si="239"/>
        <v>744.39431125655074</v>
      </c>
      <c r="Q108" s="4">
        <f t="shared" si="239"/>
        <v>749.05467583999643</v>
      </c>
      <c r="R108" s="4">
        <f t="shared" si="239"/>
        <v>753.69209991355547</v>
      </c>
      <c r="S108" s="4">
        <f t="shared" si="239"/>
        <v>758.31575968118261</v>
      </c>
      <c r="T108" s="4">
        <f t="shared" si="239"/>
        <v>762.96465400968509</v>
      </c>
      <c r="U108" s="4">
        <f t="shared" si="239"/>
        <v>767.66057638345467</v>
      </c>
    </row>
    <row r="109" spans="1:36" outlineLevel="1" x14ac:dyDescent="0.35">
      <c r="A109" s="30" t="s">
        <v>130</v>
      </c>
      <c r="B109" s="31" t="s">
        <v>131</v>
      </c>
      <c r="C109" s="74">
        <f>G109</f>
        <v>0.10923549107142858</v>
      </c>
      <c r="D109" s="54">
        <f>U109</f>
        <v>0.1</v>
      </c>
      <c r="E109" s="223">
        <f>F109</f>
        <v>0.10923549107142858</v>
      </c>
      <c r="F109" s="223">
        <f>G109</f>
        <v>0.10923549107142858</v>
      </c>
      <c r="G109" s="223">
        <f>IFERROR(G108/G103,"")</f>
        <v>0.10923549107142858</v>
      </c>
      <c r="H109" s="49"/>
      <c r="I109" s="362">
        <v>0.1</v>
      </c>
      <c r="J109" s="364">
        <f t="shared" ref="J109:U109" si="240">I109</f>
        <v>0.1</v>
      </c>
      <c r="K109" s="364">
        <f t="shared" si="240"/>
        <v>0.1</v>
      </c>
      <c r="L109" s="364">
        <f t="shared" si="240"/>
        <v>0.1</v>
      </c>
      <c r="M109" s="364">
        <f t="shared" si="240"/>
        <v>0.1</v>
      </c>
      <c r="N109" s="364">
        <f t="shared" si="240"/>
        <v>0.1</v>
      </c>
      <c r="O109" s="364">
        <f t="shared" si="240"/>
        <v>0.1</v>
      </c>
      <c r="P109" s="364">
        <f t="shared" si="240"/>
        <v>0.1</v>
      </c>
      <c r="Q109" s="364">
        <f t="shared" si="240"/>
        <v>0.1</v>
      </c>
      <c r="R109" s="364">
        <f t="shared" si="240"/>
        <v>0.1</v>
      </c>
      <c r="S109" s="364">
        <f t="shared" si="240"/>
        <v>0.1</v>
      </c>
      <c r="T109" s="364">
        <f t="shared" si="240"/>
        <v>0.1</v>
      </c>
      <c r="U109" s="364">
        <f t="shared" si="240"/>
        <v>0.1</v>
      </c>
      <c r="W109" s="319"/>
      <c r="X109" s="333"/>
      <c r="Y109" s="333"/>
      <c r="Z109" s="333"/>
      <c r="AA109" s="333"/>
      <c r="AB109" s="333"/>
      <c r="AC109" s="333"/>
      <c r="AD109" s="333"/>
      <c r="AE109" s="333"/>
      <c r="AF109" s="333"/>
      <c r="AG109" s="333"/>
      <c r="AH109" s="333"/>
      <c r="AI109" s="333"/>
      <c r="AJ109" s="333"/>
    </row>
    <row r="110" spans="1:36" outlineLevel="1" x14ac:dyDescent="0.35">
      <c r="A110" s="30" t="s">
        <v>128</v>
      </c>
      <c r="B110" s="31" t="s">
        <v>129</v>
      </c>
      <c r="C110" s="53">
        <f>G110</f>
        <v>109.33219178082192</v>
      </c>
      <c r="D110" s="53">
        <f>U110</f>
        <v>109.33219178082192</v>
      </c>
      <c r="E110" s="46">
        <f>IFERROR(E105/E111/365*1000,0)</f>
        <v>116.59246575342465</v>
      </c>
      <c r="F110" s="46">
        <f>IFERROR(F105/F111/365*1000,0)</f>
        <v>113.73287671232877</v>
      </c>
      <c r="G110" s="46">
        <f>IFERROR(G105/G111/365*1000,0)</f>
        <v>109.33219178082192</v>
      </c>
      <c r="H110" s="46"/>
      <c r="I110" s="76">
        <f>G110</f>
        <v>109.33219178082192</v>
      </c>
      <c r="J110" s="4">
        <f>IF(I110=0,0,IF(I110&gt;Veehind!$B$16,I110,I110+(Veehind!$B$16-$I110)/12))</f>
        <v>109.33219178082192</v>
      </c>
      <c r="K110" s="4">
        <f>IF(J110=0,0,IF(J110&gt;Veehind!$B$16,J110,J110+(Veehind!$B$16-$I110)/12))</f>
        <v>109.33219178082192</v>
      </c>
      <c r="L110" s="4">
        <f>IF(K110=0,0,IF(K110&gt;Veehind!$B$16,K110,K110+(Veehind!$B$16-$I110)/12))</f>
        <v>109.33219178082192</v>
      </c>
      <c r="M110" s="4">
        <f>IF(L110=0,0,IF(L110&gt;Veehind!$B$16,L110,L110+(Veehind!$B$16-$I110)/12))</f>
        <v>109.33219178082192</v>
      </c>
      <c r="N110" s="4">
        <f>IF(M110=0,0,IF(M110&gt;Veehind!$B$16,M110,M110+(Veehind!$B$16-$I110)/12))</f>
        <v>109.33219178082192</v>
      </c>
      <c r="O110" s="4">
        <f>IF(N110=0,0,IF(N110&gt;Veehind!$B$16,N110,N110+(Veehind!$B$16-$I110)/12))</f>
        <v>109.33219178082192</v>
      </c>
      <c r="P110" s="4">
        <f>IF(O110=0,0,IF(O110&gt;Veehind!$B$16,O110,O110+(Veehind!$B$16-$I110)/12))</f>
        <v>109.33219178082192</v>
      </c>
      <c r="Q110" s="4">
        <f>IF(P110=0,0,IF(P110&gt;Veehind!$B$16,P110,P110+(Veehind!$B$16-$I110)/12))</f>
        <v>109.33219178082192</v>
      </c>
      <c r="R110" s="4">
        <f>IF(Q110=0,0,IF(Q110&gt;Veehind!$B$16,Q110,Q110+(Veehind!$B$16-$I110)/12))</f>
        <v>109.33219178082192</v>
      </c>
      <c r="S110" s="4">
        <f>IF(R110=0,0,IF(R110&gt;Veehind!$B$16,R110,R110+(Veehind!$B$16-$I110)/12))</f>
        <v>109.33219178082192</v>
      </c>
      <c r="T110" s="4">
        <f>IF(S110=0,0,IF(S110&gt;Veehind!$B$16,S110,S110+(Veehind!$B$16-$I110)/12))</f>
        <v>109.33219178082192</v>
      </c>
      <c r="U110" s="4">
        <f>IF(T110=0,0,IF(T110&gt;Veehind!$B$16,T110,T110+(Veehind!$B$16-$I110)/12))</f>
        <v>109.33219178082192</v>
      </c>
    </row>
    <row r="111" spans="1:36" outlineLevel="1" x14ac:dyDescent="0.35">
      <c r="A111" s="77" t="s">
        <v>136</v>
      </c>
      <c r="B111" s="78" t="s">
        <v>137</v>
      </c>
      <c r="C111" s="355">
        <f>G111</f>
        <v>160</v>
      </c>
      <c r="D111" s="355">
        <f>U111</f>
        <v>173.12940172156223</v>
      </c>
      <c r="E111" s="213">
        <f>VLOOKUP($A101,Elanikud!$A$1:$S$20,Elanikud!B$21,FALSE)</f>
        <v>160</v>
      </c>
      <c r="F111" s="213">
        <f>VLOOKUP($A101,Elanikud!$A$1:$S$20,Elanikud!C$21,FALSE)</f>
        <v>160</v>
      </c>
      <c r="G111" s="213">
        <f>VLOOKUP($A101,Elanikud!$A$1:$S$20,Elanikud!D$21,FALSE)</f>
        <v>160</v>
      </c>
      <c r="H111" s="213">
        <f>VLOOKUP($A101,Elanikud!$A$1:$S$20,Elanikud!E$21,FALSE)</f>
        <v>160</v>
      </c>
      <c r="I111" s="62">
        <f>VLOOKUP($A101,Elanikud!$A$1:$S$20,Elanikud!E$21,FALSE)</f>
        <v>160</v>
      </c>
      <c r="J111" s="241">
        <f>VLOOKUP($A101,Elanikud!$A$1:$S$20,Elanikud!F$21,FALSE)</f>
        <v>161.20962057079294</v>
      </c>
      <c r="K111" s="241">
        <f>VLOOKUP($A101,Elanikud!$A$1:$S$20,Elanikud!G$21,FALSE)</f>
        <v>162.39104425488432</v>
      </c>
      <c r="L111" s="241">
        <f>VLOOKUP($A101,Elanikud!$A$1:$S$20,Elanikud!H$21,FALSE)</f>
        <v>163.53961468566291</v>
      </c>
      <c r="M111" s="241">
        <f>VLOOKUP($A101,Elanikud!$A$1:$S$20,Elanikud!I$21,FALSE)</f>
        <v>164.65688398533246</v>
      </c>
      <c r="N111" s="241">
        <f>VLOOKUP($A101,Elanikud!$A$1:$S$20,Elanikud!J$21,FALSE)</f>
        <v>165.75087145194567</v>
      </c>
      <c r="O111" s="241">
        <f>VLOOKUP($A101,Elanikud!$A$1:$S$20,Elanikud!K$21,FALSE)</f>
        <v>166.82209445957045</v>
      </c>
      <c r="P111" s="241">
        <f>VLOOKUP($A101,Elanikud!$A$1:$S$20,Elanikud!L$21,FALSE)</f>
        <v>167.88219392473502</v>
      </c>
      <c r="Q111" s="241">
        <f>VLOOKUP($A101,Elanikud!$A$1:$S$20,Elanikud!M$21,FALSE)</f>
        <v>168.93323934371099</v>
      </c>
      <c r="R111" s="241">
        <f>VLOOKUP($A101,Elanikud!$A$1:$S$20,Elanikud!N$21,FALSE)</f>
        <v>169.9791110220078</v>
      </c>
      <c r="S111" s="241">
        <f>VLOOKUP($A101,Elanikud!$A$1:$S$20,Elanikud!O$21,FALSE)</f>
        <v>171.02187845589711</v>
      </c>
      <c r="T111" s="241">
        <f>VLOOKUP($A101,Elanikud!$A$1:$S$20,Elanikud!P$21,FALSE)</f>
        <v>172.07033700453351</v>
      </c>
      <c r="U111" s="241">
        <f>VLOOKUP($A101,Elanikud!$A$1:$S$20,Elanikud!Q$21,FALSE)</f>
        <v>173.12940172156223</v>
      </c>
    </row>
    <row r="112" spans="1:36" outlineLevel="1" x14ac:dyDescent="0.35">
      <c r="A112" s="35" t="s">
        <v>43</v>
      </c>
      <c r="B112" s="33"/>
      <c r="C112" s="33"/>
      <c r="D112" s="3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W112" s="319"/>
      <c r="X112" s="333"/>
      <c r="Y112" s="333"/>
      <c r="Z112" s="333"/>
      <c r="AA112" s="333"/>
      <c r="AB112" s="333"/>
      <c r="AC112" s="333"/>
      <c r="AD112" s="333"/>
      <c r="AE112" s="333"/>
      <c r="AF112" s="333"/>
      <c r="AG112" s="333"/>
      <c r="AH112" s="333"/>
      <c r="AI112" s="333"/>
      <c r="AJ112" s="333"/>
    </row>
    <row r="113" spans="1:36" ht="16.5" outlineLevel="1" x14ac:dyDescent="0.35">
      <c r="A113" s="30" t="s">
        <v>132</v>
      </c>
      <c r="B113" s="31" t="s">
        <v>125</v>
      </c>
      <c r="C113" s="53">
        <f t="shared" ref="C113:C118" si="241">G113/365</f>
        <v>0</v>
      </c>
      <c r="D113" s="53">
        <f t="shared" ref="D113:D118" si="242">U113/365</f>
        <v>0</v>
      </c>
      <c r="E113" s="185"/>
      <c r="F113" s="185"/>
      <c r="G113" s="185"/>
      <c r="H113" s="45"/>
      <c r="I113" s="47">
        <f>(I114+I117)/(100%-I119)</f>
        <v>0</v>
      </c>
      <c r="J113" s="4">
        <f t="shared" ref="J113" si="243">(J114+J117)/(100%-J119)</f>
        <v>0</v>
      </c>
      <c r="K113" s="4">
        <f t="shared" ref="K113" si="244">(K114+K117)/(100%-K119)</f>
        <v>0</v>
      </c>
      <c r="L113" s="4">
        <f t="shared" ref="L113" si="245">(L114+L117)/(100%-L119)</f>
        <v>0</v>
      </c>
      <c r="M113" s="4">
        <f t="shared" ref="M113" si="246">(M114+M117)/(100%-M119)</f>
        <v>0</v>
      </c>
      <c r="N113" s="4">
        <f t="shared" ref="N113" si="247">(N114+N117)/(100%-N119)</f>
        <v>0</v>
      </c>
      <c r="O113" s="4">
        <f t="shared" ref="O113" si="248">(O114+O117)/(100%-O119)</f>
        <v>0</v>
      </c>
      <c r="P113" s="4">
        <f t="shared" ref="P113" si="249">(P114+P117)/(100%-P119)</f>
        <v>0</v>
      </c>
      <c r="Q113" s="4">
        <f t="shared" ref="Q113" si="250">(Q114+Q117)/(100%-Q119)</f>
        <v>0</v>
      </c>
      <c r="R113" s="4">
        <f t="shared" ref="R113" si="251">(R114+R117)/(100%-R119)</f>
        <v>0</v>
      </c>
      <c r="S113" s="4">
        <f t="shared" ref="S113" si="252">(S114+S117)/(100%-S119)</f>
        <v>0</v>
      </c>
      <c r="T113" s="4">
        <f t="shared" ref="T113" si="253">(T114+T117)/(100%-T119)</f>
        <v>0</v>
      </c>
      <c r="U113" s="4">
        <f t="shared" ref="U113" si="254">(U114+U117)/(100%-U119)</f>
        <v>0</v>
      </c>
      <c r="W113" s="320"/>
      <c r="X113" s="334"/>
      <c r="Y113" s="334"/>
      <c r="Z113" s="335"/>
      <c r="AA113" s="335"/>
      <c r="AB113" s="335"/>
      <c r="AC113" s="335"/>
      <c r="AD113" s="335"/>
      <c r="AE113" s="335"/>
      <c r="AF113" s="335"/>
      <c r="AG113" s="335"/>
      <c r="AH113" s="335"/>
      <c r="AI113" s="335"/>
      <c r="AJ113" s="335"/>
    </row>
    <row r="114" spans="1:36" ht="16.5" outlineLevel="1" x14ac:dyDescent="0.35">
      <c r="A114" s="30" t="s">
        <v>133</v>
      </c>
      <c r="B114" s="31" t="s">
        <v>125</v>
      </c>
      <c r="C114" s="53">
        <f t="shared" si="241"/>
        <v>0</v>
      </c>
      <c r="D114" s="53">
        <f t="shared" si="242"/>
        <v>0</v>
      </c>
      <c r="E114" s="45"/>
      <c r="F114" s="45"/>
      <c r="G114" s="45"/>
      <c r="H114" s="45"/>
      <c r="I114" s="48">
        <f t="shared" ref="I114" si="255">I115+I116</f>
        <v>0</v>
      </c>
      <c r="J114" s="12">
        <f t="shared" ref="J114" si="256">J115+J116</f>
        <v>0</v>
      </c>
      <c r="K114" s="12">
        <f t="shared" ref="K114" si="257">K115+K116</f>
        <v>0</v>
      </c>
      <c r="L114" s="12">
        <f t="shared" ref="L114" si="258">L115+L116</f>
        <v>0</v>
      </c>
      <c r="M114" s="12">
        <f t="shared" ref="M114" si="259">M115+M116</f>
        <v>0</v>
      </c>
      <c r="N114" s="12">
        <f t="shared" ref="N114" si="260">N115+N116</f>
        <v>0</v>
      </c>
      <c r="O114" s="12">
        <f t="shared" ref="O114" si="261">O115+O116</f>
        <v>0</v>
      </c>
      <c r="P114" s="12">
        <f t="shared" ref="P114" si="262">P115+P116</f>
        <v>0</v>
      </c>
      <c r="Q114" s="12">
        <f t="shared" ref="Q114" si="263">Q115+Q116</f>
        <v>0</v>
      </c>
      <c r="R114" s="12">
        <f t="shared" ref="R114" si="264">R115+R116</f>
        <v>0</v>
      </c>
      <c r="S114" s="12">
        <f t="shared" ref="S114" si="265">S115+S116</f>
        <v>0</v>
      </c>
      <c r="T114" s="12">
        <f t="shared" ref="T114" si="266">T115+T116</f>
        <v>0</v>
      </c>
      <c r="U114" s="12">
        <f t="shared" ref="U114" si="267">U115+U116</f>
        <v>0</v>
      </c>
    </row>
    <row r="115" spans="1:36" ht="16.5" outlineLevel="1" x14ac:dyDescent="0.35">
      <c r="A115" s="30" t="s">
        <v>134</v>
      </c>
      <c r="B115" s="31" t="s">
        <v>125</v>
      </c>
      <c r="C115" s="53">
        <f t="shared" si="241"/>
        <v>0</v>
      </c>
      <c r="D115" s="53">
        <f t="shared" si="242"/>
        <v>0</v>
      </c>
      <c r="E115" s="45"/>
      <c r="F115" s="45"/>
      <c r="G115" s="45"/>
      <c r="H115" s="71"/>
      <c r="I115" s="47">
        <f t="shared" ref="I115:U115" si="268">I121*I120*365/1000</f>
        <v>0</v>
      </c>
      <c r="J115" s="4">
        <f t="shared" si="268"/>
        <v>0</v>
      </c>
      <c r="K115" s="4">
        <f t="shared" si="268"/>
        <v>0</v>
      </c>
      <c r="L115" s="4">
        <f t="shared" si="268"/>
        <v>0</v>
      </c>
      <c r="M115" s="4">
        <f t="shared" si="268"/>
        <v>0</v>
      </c>
      <c r="N115" s="4">
        <f t="shared" si="268"/>
        <v>0</v>
      </c>
      <c r="O115" s="4">
        <f t="shared" si="268"/>
        <v>0</v>
      </c>
      <c r="P115" s="4">
        <f t="shared" si="268"/>
        <v>0</v>
      </c>
      <c r="Q115" s="4">
        <f t="shared" si="268"/>
        <v>0</v>
      </c>
      <c r="R115" s="4">
        <f t="shared" si="268"/>
        <v>0</v>
      </c>
      <c r="S115" s="4">
        <f t="shared" si="268"/>
        <v>0</v>
      </c>
      <c r="T115" s="4">
        <f t="shared" si="268"/>
        <v>0</v>
      </c>
      <c r="U115" s="4">
        <f t="shared" si="268"/>
        <v>0</v>
      </c>
    </row>
    <row r="116" spans="1:36" ht="16.5" outlineLevel="1" x14ac:dyDescent="0.35">
      <c r="A116" s="30" t="s">
        <v>498</v>
      </c>
      <c r="B116" s="31" t="s">
        <v>125</v>
      </c>
      <c r="C116" s="53">
        <f t="shared" si="241"/>
        <v>0</v>
      </c>
      <c r="D116" s="53">
        <f t="shared" si="242"/>
        <v>0</v>
      </c>
      <c r="E116" s="45"/>
      <c r="F116" s="45"/>
      <c r="G116" s="45"/>
      <c r="H116" s="71"/>
      <c r="I116" s="76">
        <f>IFERROR(AVERAGE(E116:G116),0)</f>
        <v>0</v>
      </c>
      <c r="J116" s="4">
        <f t="shared" ref="J116:U116" si="269">I116</f>
        <v>0</v>
      </c>
      <c r="K116" s="4">
        <f t="shared" si="269"/>
        <v>0</v>
      </c>
      <c r="L116" s="4">
        <f t="shared" si="269"/>
        <v>0</v>
      </c>
      <c r="M116" s="4">
        <f t="shared" si="269"/>
        <v>0</v>
      </c>
      <c r="N116" s="4">
        <f t="shared" si="269"/>
        <v>0</v>
      </c>
      <c r="O116" s="4">
        <f t="shared" si="269"/>
        <v>0</v>
      </c>
      <c r="P116" s="4">
        <f t="shared" si="269"/>
        <v>0</v>
      </c>
      <c r="Q116" s="4">
        <f t="shared" si="269"/>
        <v>0</v>
      </c>
      <c r="R116" s="4">
        <f t="shared" si="269"/>
        <v>0</v>
      </c>
      <c r="S116" s="4">
        <f t="shared" si="269"/>
        <v>0</v>
      </c>
      <c r="T116" s="4">
        <f t="shared" si="269"/>
        <v>0</v>
      </c>
      <c r="U116" s="4">
        <f t="shared" si="269"/>
        <v>0</v>
      </c>
    </row>
    <row r="117" spans="1:36" s="70" customFormat="1" outlineLevel="1" x14ac:dyDescent="0.35">
      <c r="A117" s="260" t="s">
        <v>525</v>
      </c>
      <c r="B117" s="256" t="s">
        <v>521</v>
      </c>
      <c r="C117" s="269">
        <f t="shared" si="241"/>
        <v>0</v>
      </c>
      <c r="D117" s="269">
        <f t="shared" si="242"/>
        <v>0</v>
      </c>
      <c r="E117" s="270"/>
      <c r="F117" s="270"/>
      <c r="G117" s="270"/>
      <c r="H117" s="270"/>
      <c r="I117" s="276">
        <f>IFERROR(AVERAGE(E117:G117),0)</f>
        <v>0</v>
      </c>
      <c r="J117" s="264">
        <f t="shared" ref="J117:U117" si="270">I117</f>
        <v>0</v>
      </c>
      <c r="K117" s="264">
        <f t="shared" si="270"/>
        <v>0</v>
      </c>
      <c r="L117" s="264">
        <f t="shared" si="270"/>
        <v>0</v>
      </c>
      <c r="M117" s="264">
        <f t="shared" si="270"/>
        <v>0</v>
      </c>
      <c r="N117" s="264">
        <f t="shared" si="270"/>
        <v>0</v>
      </c>
      <c r="O117" s="264">
        <f t="shared" si="270"/>
        <v>0</v>
      </c>
      <c r="P117" s="264">
        <f t="shared" si="270"/>
        <v>0</v>
      </c>
      <c r="Q117" s="264">
        <f t="shared" si="270"/>
        <v>0</v>
      </c>
      <c r="R117" s="264">
        <f t="shared" si="270"/>
        <v>0</v>
      </c>
      <c r="S117" s="264">
        <f t="shared" si="270"/>
        <v>0</v>
      </c>
      <c r="T117" s="264">
        <f t="shared" si="270"/>
        <v>0</v>
      </c>
      <c r="U117" s="264">
        <f t="shared" si="270"/>
        <v>0</v>
      </c>
      <c r="W117" s="318"/>
      <c r="X117" s="332"/>
      <c r="Y117" s="332"/>
      <c r="Z117" s="332"/>
      <c r="AA117" s="332"/>
      <c r="AB117" s="332"/>
      <c r="AC117" s="332"/>
      <c r="AD117" s="332"/>
      <c r="AE117" s="332"/>
      <c r="AF117" s="332"/>
      <c r="AG117" s="332"/>
      <c r="AH117" s="332"/>
      <c r="AI117" s="332"/>
      <c r="AJ117" s="332"/>
    </row>
    <row r="118" spans="1:36" ht="16.5" outlineLevel="1" x14ac:dyDescent="0.35">
      <c r="A118" s="30" t="s">
        <v>135</v>
      </c>
      <c r="B118" s="31" t="s">
        <v>125</v>
      </c>
      <c r="C118" s="53">
        <f t="shared" si="241"/>
        <v>0</v>
      </c>
      <c r="D118" s="53">
        <f t="shared" si="242"/>
        <v>0</v>
      </c>
      <c r="E118" s="71"/>
      <c r="F118" s="71"/>
      <c r="G118" s="71"/>
      <c r="H118" s="45"/>
      <c r="I118" s="47">
        <f>I119*I113</f>
        <v>0</v>
      </c>
      <c r="J118" s="4">
        <f t="shared" ref="J118" si="271">J119*J113</f>
        <v>0</v>
      </c>
      <c r="K118" s="4">
        <f t="shared" ref="K118" si="272">K119*K113</f>
        <v>0</v>
      </c>
      <c r="L118" s="4">
        <f t="shared" ref="L118" si="273">L119*L113</f>
        <v>0</v>
      </c>
      <c r="M118" s="4">
        <f t="shared" ref="M118" si="274">M119*M113</f>
        <v>0</v>
      </c>
      <c r="N118" s="4">
        <f t="shared" ref="N118" si="275">N119*N113</f>
        <v>0</v>
      </c>
      <c r="O118" s="4">
        <f t="shared" ref="O118" si="276">O119*O113</f>
        <v>0</v>
      </c>
      <c r="P118" s="4">
        <f t="shared" ref="P118" si="277">P119*P113</f>
        <v>0</v>
      </c>
      <c r="Q118" s="4">
        <f t="shared" ref="Q118" si="278">Q119*Q113</f>
        <v>0</v>
      </c>
      <c r="R118" s="4">
        <f t="shared" ref="R118" si="279">R119*R113</f>
        <v>0</v>
      </c>
      <c r="S118" s="4">
        <f t="shared" ref="S118" si="280">S119*S113</f>
        <v>0</v>
      </c>
      <c r="T118" s="4">
        <f t="shared" ref="T118" si="281">T119*T113</f>
        <v>0</v>
      </c>
      <c r="U118" s="4">
        <f t="shared" ref="U118" si="282">U119*U113</f>
        <v>0</v>
      </c>
    </row>
    <row r="119" spans="1:36" outlineLevel="1" x14ac:dyDescent="0.35">
      <c r="A119" s="30" t="s">
        <v>135</v>
      </c>
      <c r="B119" s="31" t="s">
        <v>131</v>
      </c>
      <c r="C119" s="73" t="str">
        <f>G119</f>
        <v/>
      </c>
      <c r="D119" s="54">
        <f>U119</f>
        <v>0</v>
      </c>
      <c r="E119" s="50" t="str">
        <f>IFERROR(E118/E113,"")</f>
        <v/>
      </c>
      <c r="F119" s="50" t="str">
        <f>IFERROR(F118/F113,"")</f>
        <v/>
      </c>
      <c r="G119" s="50" t="str">
        <f>IFERROR(G118/G113,"")</f>
        <v/>
      </c>
      <c r="H119" s="50" t="str">
        <f>IFERROR(H118/H113,"")</f>
        <v/>
      </c>
      <c r="I119" s="186">
        <v>0</v>
      </c>
      <c r="J119" s="38">
        <f t="shared" ref="J119:U119" si="283">I119</f>
        <v>0</v>
      </c>
      <c r="K119" s="38">
        <f t="shared" si="283"/>
        <v>0</v>
      </c>
      <c r="L119" s="38">
        <f t="shared" si="283"/>
        <v>0</v>
      </c>
      <c r="M119" s="38">
        <f t="shared" si="283"/>
        <v>0</v>
      </c>
      <c r="N119" s="38">
        <f t="shared" si="283"/>
        <v>0</v>
      </c>
      <c r="O119" s="38">
        <f t="shared" si="283"/>
        <v>0</v>
      </c>
      <c r="P119" s="38">
        <f t="shared" si="283"/>
        <v>0</v>
      </c>
      <c r="Q119" s="38">
        <f t="shared" si="283"/>
        <v>0</v>
      </c>
      <c r="R119" s="38">
        <f t="shared" si="283"/>
        <v>0</v>
      </c>
      <c r="S119" s="38">
        <f t="shared" si="283"/>
        <v>0</v>
      </c>
      <c r="T119" s="38">
        <f t="shared" si="283"/>
        <v>0</v>
      </c>
      <c r="U119" s="38">
        <f t="shared" si="283"/>
        <v>0</v>
      </c>
    </row>
    <row r="120" spans="1:36" s="70" customFormat="1" outlineLevel="1" x14ac:dyDescent="0.35">
      <c r="A120" s="181" t="s">
        <v>128</v>
      </c>
      <c r="B120" s="182" t="s">
        <v>129</v>
      </c>
      <c r="C120" s="182"/>
      <c r="D120" s="182"/>
      <c r="E120" s="71">
        <f>IFERROR(E115/E121/365*1000,0)</f>
        <v>0</v>
      </c>
      <c r="F120" s="71">
        <f>IFERROR(F115/F121/365*1000,0)</f>
        <v>0</v>
      </c>
      <c r="G120" s="71">
        <f>IFERROR(G115/G121/365*1000,0)</f>
        <v>0</v>
      </c>
      <c r="H120" s="71"/>
      <c r="I120" s="76">
        <f>G120</f>
        <v>0</v>
      </c>
      <c r="J120" s="4">
        <f>IF(I120=0,0,IF(I120&gt;Veehind!$B$16,I120,I120+(Veehind!$B$16-$I120)/12))</f>
        <v>0</v>
      </c>
      <c r="K120" s="4">
        <f>IF(J120=0,0,IF(J120&gt;Veehind!$B$16,J120,J120+(Veehind!$B$16-$I120)/12))</f>
        <v>0</v>
      </c>
      <c r="L120" s="4">
        <f>IF(K120=0,0,IF(K120&gt;Veehind!$B$16,K120,K120+(Veehind!$B$16-$I120)/12))</f>
        <v>0</v>
      </c>
      <c r="M120" s="4">
        <f>IF(L120=0,0,IF(L120&gt;Veehind!$B$16,L120,L120+(Veehind!$B$16-$I120)/12))</f>
        <v>0</v>
      </c>
      <c r="N120" s="4">
        <f>IF(M120=0,0,IF(M120&gt;Veehind!$B$16,M120,M120+(Veehind!$B$16-$I120)/12))</f>
        <v>0</v>
      </c>
      <c r="O120" s="4">
        <f>IF(N120=0,0,IF(N120&gt;Veehind!$B$16,N120,N120+(Veehind!$B$16-$I120)/12))</f>
        <v>0</v>
      </c>
      <c r="P120" s="4">
        <f>IF(O120=0,0,IF(O120&gt;Veehind!$B$16,O120,O120+(Veehind!$B$16-$I120)/12))</f>
        <v>0</v>
      </c>
      <c r="Q120" s="4">
        <f>IF(P120=0,0,IF(P120&gt;Veehind!$B$16,P120,P120+(Veehind!$B$16-$I120)/12))</f>
        <v>0</v>
      </c>
      <c r="R120" s="4">
        <f>IF(Q120=0,0,IF(Q120&gt;Veehind!$B$16,Q120,Q120+(Veehind!$B$16-$I120)/12))</f>
        <v>0</v>
      </c>
      <c r="S120" s="4">
        <f>IF(R120=0,0,IF(R120&gt;Veehind!$B$16,R120,R120+(Veehind!$B$16-$I120)/12))</f>
        <v>0</v>
      </c>
      <c r="T120" s="4">
        <f>IF(S120=0,0,IF(S120&gt;Veehind!$B$16,S120,S120+(Veehind!$B$16-$I120)/12))</f>
        <v>0</v>
      </c>
      <c r="U120" s="4">
        <f>IF(T120=0,0,IF(T120&gt;Veehind!$B$16,T120,T120+(Veehind!$B$16-$I120)/12))</f>
        <v>0</v>
      </c>
      <c r="W120" s="321"/>
      <c r="X120" s="336"/>
      <c r="Y120" s="336"/>
      <c r="Z120" s="336"/>
      <c r="AA120" s="336"/>
      <c r="AB120" s="336"/>
      <c r="AC120" s="336"/>
      <c r="AD120" s="336"/>
      <c r="AE120" s="336"/>
      <c r="AF120" s="336"/>
      <c r="AG120" s="336"/>
      <c r="AH120" s="336"/>
      <c r="AI120" s="336"/>
      <c r="AJ120" s="336"/>
    </row>
    <row r="121" spans="1:36" s="242" customFormat="1" outlineLevel="1" x14ac:dyDescent="0.35">
      <c r="A121" s="77" t="s">
        <v>136</v>
      </c>
      <c r="B121" s="78" t="s">
        <v>137</v>
      </c>
      <c r="C121" s="355">
        <f>G121</f>
        <v>0</v>
      </c>
      <c r="D121" s="355">
        <f>U121</f>
        <v>0</v>
      </c>
      <c r="E121" s="215">
        <f>VLOOKUP($A101,Elanikud!$A$22:$S$41,Elanikud!B$21,FALSE)</f>
        <v>0</v>
      </c>
      <c r="F121" s="215">
        <f>VLOOKUP($A101,Elanikud!$A$22:$S$41,Elanikud!C$21,FALSE)</f>
        <v>0</v>
      </c>
      <c r="G121" s="215">
        <f>VLOOKUP($A101,Elanikud!$A$22:$S$41,Elanikud!D$21,FALSE)</f>
        <v>0</v>
      </c>
      <c r="H121" s="215">
        <f>VLOOKUP($A101,Elanikud!$A$22:$S$41,Elanikud!E$21,FALSE)</f>
        <v>0</v>
      </c>
      <c r="I121" s="62">
        <f>VLOOKUP($A101,Elanikud!$A$22:$S$41,Elanikud!E$21,FALSE)</f>
        <v>0</v>
      </c>
      <c r="J121" s="241">
        <f>VLOOKUP($A101,Elanikud!$A$22:$S$41,Elanikud!F$21,FALSE)</f>
        <v>0</v>
      </c>
      <c r="K121" s="241">
        <f>VLOOKUP($A101,Elanikud!$A$22:$S$41,Elanikud!G$21,FALSE)</f>
        <v>0</v>
      </c>
      <c r="L121" s="241">
        <f>VLOOKUP($A101,Elanikud!$A$22:$S$41,Elanikud!H$21,FALSE)</f>
        <v>0</v>
      </c>
      <c r="M121" s="241">
        <f>VLOOKUP($A101,Elanikud!$A$22:$S$41,Elanikud!I$21,FALSE)</f>
        <v>0</v>
      </c>
      <c r="N121" s="241">
        <f>VLOOKUP($A101,Elanikud!$A$22:$S$41,Elanikud!J$21,FALSE)</f>
        <v>0</v>
      </c>
      <c r="O121" s="241">
        <f>VLOOKUP($A101,Elanikud!$A$22:$S$41,Elanikud!K$21,FALSE)</f>
        <v>0</v>
      </c>
      <c r="P121" s="241">
        <f>VLOOKUP($A101,Elanikud!$A$22:$S$41,Elanikud!L$21,FALSE)</f>
        <v>0</v>
      </c>
      <c r="Q121" s="241">
        <f>VLOOKUP($A101,Elanikud!$A$22:$S$41,Elanikud!M$21,FALSE)</f>
        <v>0</v>
      </c>
      <c r="R121" s="241">
        <f>VLOOKUP($A101,Elanikud!$A$22:$S$41,Elanikud!N$21,FALSE)</f>
        <v>0</v>
      </c>
      <c r="S121" s="241">
        <f>VLOOKUP($A101,Elanikud!$A$22:$S$41,Elanikud!O$21,FALSE)</f>
        <v>0</v>
      </c>
      <c r="T121" s="241">
        <f>VLOOKUP($A101,Elanikud!$A$22:$S$41,Elanikud!P$21,FALSE)</f>
        <v>0</v>
      </c>
      <c r="U121" s="241">
        <f>VLOOKUP($A101,Elanikud!$A$22:$S$41,Elanikud!Q$21,FALSE)</f>
        <v>0</v>
      </c>
      <c r="V121" s="7"/>
      <c r="W121" s="318"/>
      <c r="X121" s="332"/>
      <c r="Y121" s="332"/>
      <c r="Z121" s="332"/>
      <c r="AA121" s="332"/>
      <c r="AB121" s="332"/>
      <c r="AC121" s="332"/>
      <c r="AD121" s="332"/>
      <c r="AE121" s="332"/>
      <c r="AF121" s="332"/>
      <c r="AG121" s="332"/>
      <c r="AH121" s="332"/>
      <c r="AI121" s="332"/>
      <c r="AJ121" s="332"/>
    </row>
    <row r="122" spans="1:36" x14ac:dyDescent="0.35">
      <c r="A122" s="36" t="s">
        <v>282</v>
      </c>
      <c r="B122" s="36"/>
      <c r="C122" s="36"/>
      <c r="D122" s="36"/>
      <c r="E122" s="41" t="s">
        <v>282</v>
      </c>
      <c r="F122" s="41"/>
      <c r="G122" s="41"/>
      <c r="H122" s="41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36" x14ac:dyDescent="0.35">
      <c r="A123" s="34" t="s">
        <v>21</v>
      </c>
      <c r="B123" s="32"/>
      <c r="C123" s="32"/>
      <c r="D123" s="32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spans="1:36" ht="16.5" x14ac:dyDescent="0.35">
      <c r="A124" s="30" t="s">
        <v>124</v>
      </c>
      <c r="B124" s="31" t="s">
        <v>125</v>
      </c>
      <c r="C124" s="53">
        <f t="shared" ref="C124:C129" si="284">G124/365</f>
        <v>48.898630136986299</v>
      </c>
      <c r="D124" s="72">
        <f t="shared" ref="D124:D129" si="285">U124/365</f>
        <v>57.750049958862832</v>
      </c>
      <c r="E124" s="46">
        <f>SUMIFS(SM!F:F,SM!$C:$C,"TOO",SM!$D:$D,$E122)</f>
        <v>24769</v>
      </c>
      <c r="F124" s="46">
        <f>SUMIFS(SM!G:G,SM!$C:$C,"TOO",SM!$D:$D,$E122)</f>
        <v>26297</v>
      </c>
      <c r="G124" s="64">
        <f>SUMIFS(SM!H:H,SM!$C:$C,"TOO",SM!$D:$D,$E122)</f>
        <v>17848</v>
      </c>
      <c r="H124" s="46">
        <f>SUMIFS(SM!$R:$R,SM!M:M,Q!E122)</f>
        <v>9451</v>
      </c>
      <c r="I124" s="76">
        <f t="shared" ref="I124:U124" si="286">(I125+I128)/(100%-I130)</f>
        <v>19824.609049762039</v>
      </c>
      <c r="J124" s="4">
        <f t="shared" si="286"/>
        <v>19940.155575161069</v>
      </c>
      <c r="K124" s="4">
        <f t="shared" si="286"/>
        <v>20053.008650759304</v>
      </c>
      <c r="L124" s="4">
        <f t="shared" si="286"/>
        <v>20162.723486681396</v>
      </c>
      <c r="M124" s="4">
        <f t="shared" si="286"/>
        <v>20269.448346219117</v>
      </c>
      <c r="N124" s="4">
        <f t="shared" si="286"/>
        <v>20373.949256380045</v>
      </c>
      <c r="O124" s="4">
        <f t="shared" si="286"/>
        <v>20476.275638261432</v>
      </c>
      <c r="P124" s="4">
        <f t="shared" si="286"/>
        <v>20577.539466551683</v>
      </c>
      <c r="Q124" s="4">
        <f t="shared" si="286"/>
        <v>20677.938425639848</v>
      </c>
      <c r="R124" s="4">
        <f t="shared" si="286"/>
        <v>20777.843173755387</v>
      </c>
      <c r="S124" s="4">
        <f t="shared" si="286"/>
        <v>20877.451395287357</v>
      </c>
      <c r="T124" s="4">
        <f t="shared" si="286"/>
        <v>20977.603248889212</v>
      </c>
      <c r="U124" s="4">
        <f t="shared" si="286"/>
        <v>21078.768234984935</v>
      </c>
    </row>
    <row r="125" spans="1:36" ht="16.5" x14ac:dyDescent="0.35">
      <c r="A125" s="30" t="s">
        <v>126</v>
      </c>
      <c r="B125" s="31" t="s">
        <v>125</v>
      </c>
      <c r="C125" s="53">
        <f t="shared" si="284"/>
        <v>44.510547945205452</v>
      </c>
      <c r="D125" s="53">
        <f t="shared" si="285"/>
        <v>48.508378296309893</v>
      </c>
      <c r="E125" s="46">
        <f>E126+E127</f>
        <v>16140.579999999998</v>
      </c>
      <c r="F125" s="64">
        <f>F126+F127</f>
        <v>17072.450000000004</v>
      </c>
      <c r="G125" s="64">
        <f>G126+G127</f>
        <v>16246.349999999991</v>
      </c>
      <c r="H125" s="46"/>
      <c r="I125" s="48">
        <f t="shared" ref="I125:U125" si="287">I126+I127</f>
        <v>16576.814811452503</v>
      </c>
      <c r="J125" s="12">
        <f t="shared" si="287"/>
        <v>16680.806684311628</v>
      </c>
      <c r="K125" s="12">
        <f t="shared" si="287"/>
        <v>16782.374452350043</v>
      </c>
      <c r="L125" s="12">
        <f t="shared" si="287"/>
        <v>16881.117804679925</v>
      </c>
      <c r="M125" s="12">
        <f t="shared" si="287"/>
        <v>16977.170178263874</v>
      </c>
      <c r="N125" s="12">
        <f t="shared" si="287"/>
        <v>17071.220997408709</v>
      </c>
      <c r="O125" s="12">
        <f t="shared" si="287"/>
        <v>17163.314741101956</v>
      </c>
      <c r="P125" s="12">
        <f t="shared" si="287"/>
        <v>17254.452186563183</v>
      </c>
      <c r="Q125" s="12">
        <f t="shared" si="287"/>
        <v>17344.811249742532</v>
      </c>
      <c r="R125" s="12">
        <f t="shared" si="287"/>
        <v>17434.725523046516</v>
      </c>
      <c r="S125" s="12">
        <f t="shared" si="287"/>
        <v>17524.372922425289</v>
      </c>
      <c r="T125" s="12">
        <f t="shared" si="287"/>
        <v>17614.509590666959</v>
      </c>
      <c r="U125" s="12">
        <f t="shared" si="287"/>
        <v>17705.55807815311</v>
      </c>
    </row>
    <row r="126" spans="1:36" ht="16.5" x14ac:dyDescent="0.35">
      <c r="A126" s="30" t="s">
        <v>127</v>
      </c>
      <c r="B126" s="31" t="s">
        <v>125</v>
      </c>
      <c r="C126" s="53">
        <f t="shared" si="284"/>
        <v>36.780383561643809</v>
      </c>
      <c r="D126" s="53">
        <f t="shared" si="285"/>
        <v>40.778213912748249</v>
      </c>
      <c r="E126" s="46">
        <f>ABS(SUMIFS(SM!F:F,SM!$C:$C,"ERA",SM!$D:$D,$E122))</f>
        <v>14209.849999999999</v>
      </c>
      <c r="F126" s="46">
        <f>ABS(SUMIFS(SM!G:G,SM!$C:$C,"ERA",SM!$D:$D,$E122))</f>
        <v>14468.300000000007</v>
      </c>
      <c r="G126" s="46">
        <f>ABS(SUMIFS(SM!H:H,SM!$C:$C,"ERA",SM!$D:$D,$E122))</f>
        <v>13424.839999999991</v>
      </c>
      <c r="H126" s="64"/>
      <c r="I126" s="47">
        <f t="shared" ref="I126:U126" si="288">I131*I132/1000*365</f>
        <v>13755.304811452505</v>
      </c>
      <c r="J126" s="4">
        <f t="shared" si="288"/>
        <v>13859.296684311628</v>
      </c>
      <c r="K126" s="4">
        <f t="shared" si="288"/>
        <v>13960.864452350041</v>
      </c>
      <c r="L126" s="4">
        <f t="shared" si="288"/>
        <v>14059.607804679923</v>
      </c>
      <c r="M126" s="4">
        <f t="shared" si="288"/>
        <v>14155.660178263874</v>
      </c>
      <c r="N126" s="4">
        <f t="shared" si="288"/>
        <v>14249.710997408707</v>
      </c>
      <c r="O126" s="4">
        <f t="shared" si="288"/>
        <v>14341.804741101956</v>
      </c>
      <c r="P126" s="4">
        <f t="shared" si="288"/>
        <v>14432.942186563183</v>
      </c>
      <c r="Q126" s="4">
        <f t="shared" si="288"/>
        <v>14523.301249742532</v>
      </c>
      <c r="R126" s="4">
        <f t="shared" si="288"/>
        <v>14613.215523046516</v>
      </c>
      <c r="S126" s="4">
        <f t="shared" si="288"/>
        <v>14702.862922425289</v>
      </c>
      <c r="T126" s="4">
        <f t="shared" si="288"/>
        <v>14792.999590666957</v>
      </c>
      <c r="U126" s="4">
        <f t="shared" si="288"/>
        <v>14884.048078153111</v>
      </c>
    </row>
    <row r="127" spans="1:36" ht="16.5" x14ac:dyDescent="0.35">
      <c r="A127" s="30" t="s">
        <v>497</v>
      </c>
      <c r="B127" s="31" t="s">
        <v>125</v>
      </c>
      <c r="C127" s="53">
        <f t="shared" si="284"/>
        <v>7.730164383561644</v>
      </c>
      <c r="D127" s="53">
        <f t="shared" si="285"/>
        <v>7.730164383561644</v>
      </c>
      <c r="E127" s="46">
        <f>ABS(SUMIFS(SM!F:F,SM!$C:$C,"JUR",SM!$D:$D,$E122))</f>
        <v>1930.7300000000002</v>
      </c>
      <c r="F127" s="46">
        <f>ABS(SUMIFS(SM!G:G,SM!$C:$C,"JUR",SM!$D:$D,$E122))</f>
        <v>2604.1499999999996</v>
      </c>
      <c r="G127" s="46">
        <f>ABS(SUMIFS(SM!H:H,SM!$C:$C,"JUR",SM!$D:$D,$E122))</f>
        <v>2821.51</v>
      </c>
      <c r="H127" s="64"/>
      <c r="I127" s="76">
        <f>G127</f>
        <v>2821.51</v>
      </c>
      <c r="J127" s="4">
        <f t="shared" ref="J127:U127" si="289">I127</f>
        <v>2821.51</v>
      </c>
      <c r="K127" s="4">
        <f t="shared" si="289"/>
        <v>2821.51</v>
      </c>
      <c r="L127" s="4">
        <f t="shared" si="289"/>
        <v>2821.51</v>
      </c>
      <c r="M127" s="4">
        <f t="shared" si="289"/>
        <v>2821.51</v>
      </c>
      <c r="N127" s="4">
        <f t="shared" si="289"/>
        <v>2821.51</v>
      </c>
      <c r="O127" s="4">
        <f t="shared" si="289"/>
        <v>2821.51</v>
      </c>
      <c r="P127" s="4">
        <f t="shared" si="289"/>
        <v>2821.51</v>
      </c>
      <c r="Q127" s="4">
        <f t="shared" si="289"/>
        <v>2821.51</v>
      </c>
      <c r="R127" s="4">
        <f t="shared" si="289"/>
        <v>2821.51</v>
      </c>
      <c r="S127" s="4">
        <f t="shared" si="289"/>
        <v>2821.51</v>
      </c>
      <c r="T127" s="4">
        <f t="shared" si="289"/>
        <v>2821.51</v>
      </c>
      <c r="U127" s="4">
        <f t="shared" si="289"/>
        <v>2821.51</v>
      </c>
    </row>
    <row r="128" spans="1:36" s="244" customFormat="1" ht="16.5" x14ac:dyDescent="0.35">
      <c r="A128" s="255" t="s">
        <v>524</v>
      </c>
      <c r="B128" s="256" t="s">
        <v>520</v>
      </c>
      <c r="C128" s="257">
        <f t="shared" si="284"/>
        <v>4.2630136986301368</v>
      </c>
      <c r="D128" s="257">
        <f t="shared" si="285"/>
        <v>3.4666666666666663</v>
      </c>
      <c r="E128" s="258">
        <f>ABS(SUMIFS(SM!F:F,SM!$C:$C,"OMA",SM!$D:$D,$E122))</f>
        <v>885</v>
      </c>
      <c r="F128" s="258">
        <f>ABS(SUMIFS(SM!G:G,SM!$C:$C,"OMA",SM!$D:$D,$E122))</f>
        <v>1355</v>
      </c>
      <c r="G128" s="258">
        <f>ABS(SUMIFS(SM!H:H,SM!$C:$C,"OMA",SM!$D:$D,$E122))</f>
        <v>1556</v>
      </c>
      <c r="H128" s="258"/>
      <c r="I128" s="275">
        <f>AVERAGE(E128:G128)</f>
        <v>1265.3333333333333</v>
      </c>
      <c r="J128" s="259">
        <f t="shared" ref="J128:U128" si="290">I128</f>
        <v>1265.3333333333333</v>
      </c>
      <c r="K128" s="259">
        <f t="shared" si="290"/>
        <v>1265.3333333333333</v>
      </c>
      <c r="L128" s="259">
        <f t="shared" si="290"/>
        <v>1265.3333333333333</v>
      </c>
      <c r="M128" s="259">
        <f t="shared" si="290"/>
        <v>1265.3333333333333</v>
      </c>
      <c r="N128" s="259">
        <f t="shared" si="290"/>
        <v>1265.3333333333333</v>
      </c>
      <c r="O128" s="259">
        <f t="shared" si="290"/>
        <v>1265.3333333333333</v>
      </c>
      <c r="P128" s="259">
        <f t="shared" si="290"/>
        <v>1265.3333333333333</v>
      </c>
      <c r="Q128" s="259">
        <f t="shared" si="290"/>
        <v>1265.3333333333333</v>
      </c>
      <c r="R128" s="259">
        <f t="shared" si="290"/>
        <v>1265.3333333333333</v>
      </c>
      <c r="S128" s="259">
        <f t="shared" si="290"/>
        <v>1265.3333333333333</v>
      </c>
      <c r="T128" s="259">
        <f t="shared" si="290"/>
        <v>1265.3333333333333</v>
      </c>
      <c r="U128" s="259">
        <f t="shared" si="290"/>
        <v>1265.3333333333333</v>
      </c>
      <c r="W128" s="318"/>
      <c r="X128" s="332"/>
      <c r="Y128" s="332"/>
      <c r="Z128" s="332"/>
      <c r="AA128" s="332"/>
      <c r="AB128" s="332"/>
      <c r="AC128" s="332"/>
      <c r="AD128" s="332"/>
      <c r="AE128" s="332"/>
      <c r="AF128" s="332"/>
      <c r="AG128" s="332"/>
      <c r="AH128" s="332"/>
      <c r="AI128" s="332"/>
      <c r="AJ128" s="332"/>
    </row>
    <row r="129" spans="1:36" ht="16.5" x14ac:dyDescent="0.35">
      <c r="A129" s="30" t="s">
        <v>130</v>
      </c>
      <c r="B129" s="31" t="s">
        <v>125</v>
      </c>
      <c r="C129" s="232">
        <f t="shared" si="284"/>
        <v>0.12506849315070886</v>
      </c>
      <c r="D129" s="53">
        <f t="shared" si="285"/>
        <v>5.7750049958862837</v>
      </c>
      <c r="E129" s="210">
        <f>E124-E125-E128</f>
        <v>7743.4200000000019</v>
      </c>
      <c r="F129" s="210">
        <f>F124-F125-F128</f>
        <v>7869.5499999999956</v>
      </c>
      <c r="G129" s="210">
        <f>G124-G125-G128</f>
        <v>45.650000000008731</v>
      </c>
      <c r="H129" s="64"/>
      <c r="I129" s="47">
        <f t="shared" ref="I129:U129" si="291">I130*I124</f>
        <v>1982.4609049762039</v>
      </c>
      <c r="J129" s="4">
        <f t="shared" si="291"/>
        <v>1994.015557516107</v>
      </c>
      <c r="K129" s="4">
        <f t="shared" si="291"/>
        <v>2005.3008650759305</v>
      </c>
      <c r="L129" s="4">
        <f t="shared" si="291"/>
        <v>2016.2723486681398</v>
      </c>
      <c r="M129" s="4">
        <f t="shared" si="291"/>
        <v>2026.9448346219117</v>
      </c>
      <c r="N129" s="4">
        <f t="shared" si="291"/>
        <v>2037.3949256380047</v>
      </c>
      <c r="O129" s="4">
        <f t="shared" si="291"/>
        <v>2047.6275638261432</v>
      </c>
      <c r="P129" s="4">
        <f t="shared" si="291"/>
        <v>2057.7539466551684</v>
      </c>
      <c r="Q129" s="4">
        <f t="shared" si="291"/>
        <v>2067.793842563985</v>
      </c>
      <c r="R129" s="4">
        <f t="shared" si="291"/>
        <v>2077.7843173755386</v>
      </c>
      <c r="S129" s="4">
        <f t="shared" si="291"/>
        <v>2087.7451395287358</v>
      </c>
      <c r="T129" s="4">
        <f t="shared" si="291"/>
        <v>2097.7603248889213</v>
      </c>
      <c r="U129" s="4">
        <f t="shared" si="291"/>
        <v>2107.8768234984936</v>
      </c>
    </row>
    <row r="130" spans="1:36" x14ac:dyDescent="0.35">
      <c r="A130" s="30" t="s">
        <v>130</v>
      </c>
      <c r="B130" s="31" t="s">
        <v>131</v>
      </c>
      <c r="C130" s="179">
        <f>G130</f>
        <v>2.5577095472887009E-3</v>
      </c>
      <c r="D130" s="54">
        <f>U130</f>
        <v>0.1</v>
      </c>
      <c r="E130" s="168">
        <f>IFERROR(E129/E124,"")</f>
        <v>0.31262545924340918</v>
      </c>
      <c r="F130" s="168">
        <f>IFERROR(F129/F124,"")</f>
        <v>0.29925656919040178</v>
      </c>
      <c r="G130" s="229">
        <f>IFERROR(G129/G124,"")</f>
        <v>2.5577095472887009E-3</v>
      </c>
      <c r="H130" s="49"/>
      <c r="I130" s="362">
        <v>0.1</v>
      </c>
      <c r="J130" s="364">
        <f t="shared" ref="J130:U130" si="292">I130</f>
        <v>0.1</v>
      </c>
      <c r="K130" s="364">
        <f t="shared" si="292"/>
        <v>0.1</v>
      </c>
      <c r="L130" s="364">
        <f t="shared" si="292"/>
        <v>0.1</v>
      </c>
      <c r="M130" s="364">
        <f t="shared" si="292"/>
        <v>0.1</v>
      </c>
      <c r="N130" s="364">
        <f t="shared" si="292"/>
        <v>0.1</v>
      </c>
      <c r="O130" s="364">
        <f t="shared" si="292"/>
        <v>0.1</v>
      </c>
      <c r="P130" s="364">
        <f t="shared" si="292"/>
        <v>0.1</v>
      </c>
      <c r="Q130" s="364">
        <f t="shared" si="292"/>
        <v>0.1</v>
      </c>
      <c r="R130" s="364">
        <f t="shared" si="292"/>
        <v>0.1</v>
      </c>
      <c r="S130" s="364">
        <f t="shared" si="292"/>
        <v>0.1</v>
      </c>
      <c r="T130" s="364">
        <f t="shared" si="292"/>
        <v>0.1</v>
      </c>
      <c r="U130" s="364">
        <f t="shared" si="292"/>
        <v>0.1</v>
      </c>
      <c r="W130" s="319"/>
      <c r="X130" s="333"/>
      <c r="Y130" s="333"/>
      <c r="Z130" s="333"/>
      <c r="AA130" s="333"/>
      <c r="AB130" s="333"/>
      <c r="AC130" s="333"/>
      <c r="AD130" s="333"/>
      <c r="AE130" s="333"/>
      <c r="AF130" s="333"/>
      <c r="AG130" s="333"/>
      <c r="AH130" s="333"/>
      <c r="AI130" s="333"/>
      <c r="AJ130" s="333"/>
    </row>
    <row r="131" spans="1:36" x14ac:dyDescent="0.35">
      <c r="A131" s="30" t="s">
        <v>128</v>
      </c>
      <c r="B131" s="31" t="s">
        <v>129</v>
      </c>
      <c r="C131" s="53">
        <f>G131</f>
        <v>135.07443228214763</v>
      </c>
      <c r="D131" s="53">
        <f>U131</f>
        <v>135.07443228214763</v>
      </c>
      <c r="E131" s="46">
        <f>IFERROR(E126/E132/365*1000,0)</f>
        <v>154.24209313111371</v>
      </c>
      <c r="F131" s="46">
        <f>IFERROR(F126/F132/365*1000,0)</f>
        <v>151.58034880877548</v>
      </c>
      <c r="G131" s="46">
        <f>IFERROR(G126/G132/365*1000,0)</f>
        <v>135.07443228214763</v>
      </c>
      <c r="H131" s="46"/>
      <c r="I131" s="76">
        <f>G131</f>
        <v>135.07443228214763</v>
      </c>
      <c r="J131" s="4">
        <f t="shared" ref="J131:U131" si="293">I131</f>
        <v>135.07443228214763</v>
      </c>
      <c r="K131" s="4">
        <f t="shared" si="293"/>
        <v>135.07443228214763</v>
      </c>
      <c r="L131" s="4">
        <f t="shared" si="293"/>
        <v>135.07443228214763</v>
      </c>
      <c r="M131" s="4">
        <f t="shared" si="293"/>
        <v>135.07443228214763</v>
      </c>
      <c r="N131" s="4">
        <f t="shared" si="293"/>
        <v>135.07443228214763</v>
      </c>
      <c r="O131" s="4">
        <f t="shared" si="293"/>
        <v>135.07443228214763</v>
      </c>
      <c r="P131" s="4">
        <f t="shared" si="293"/>
        <v>135.07443228214763</v>
      </c>
      <c r="Q131" s="4">
        <f t="shared" si="293"/>
        <v>135.07443228214763</v>
      </c>
      <c r="R131" s="4">
        <f t="shared" si="293"/>
        <v>135.07443228214763</v>
      </c>
      <c r="S131" s="4">
        <f t="shared" si="293"/>
        <v>135.07443228214763</v>
      </c>
      <c r="T131" s="4">
        <f t="shared" si="293"/>
        <v>135.07443228214763</v>
      </c>
      <c r="U131" s="4">
        <f t="shared" si="293"/>
        <v>135.07443228214763</v>
      </c>
    </row>
    <row r="132" spans="1:36" x14ac:dyDescent="0.35">
      <c r="A132" s="77" t="s">
        <v>136</v>
      </c>
      <c r="B132" s="78" t="s">
        <v>137</v>
      </c>
      <c r="C132" s="355">
        <f>G132</f>
        <v>272.29715454080764</v>
      </c>
      <c r="D132" s="355">
        <f>U132</f>
        <v>301.89439425197406</v>
      </c>
      <c r="E132" s="213">
        <f>VLOOKUP($A122,Elanikud!$A$1:$S$20,Elanikud!B$21,FALSE)</f>
        <v>252.40253876299204</v>
      </c>
      <c r="F132" s="213">
        <f>VLOOKUP($A122,Elanikud!$A$1:$S$20,Elanikud!C$21,FALSE)</f>
        <v>261.50604873061855</v>
      </c>
      <c r="G132" s="213">
        <f>VLOOKUP($A122,Elanikud!$A$1:$S$20,Elanikud!D$21,FALSE)</f>
        <v>272.29715454080764</v>
      </c>
      <c r="H132" s="213">
        <f>VLOOKUP($A122,Elanikud!$A$1:$S$20,Elanikud!E$21,FALSE)</f>
        <v>279</v>
      </c>
      <c r="I132" s="62">
        <f>VLOOKUP($A122,Elanikud!$A$1:$S$20,Elanikud!E$21,FALSE)</f>
        <v>279</v>
      </c>
      <c r="J132" s="241">
        <f>VLOOKUP($A122,Elanikud!$A$1:$S$20,Elanikud!F$21,FALSE)</f>
        <v>281.10927587032018</v>
      </c>
      <c r="K132" s="241">
        <f>VLOOKUP($A122,Elanikud!$A$1:$S$20,Elanikud!G$21,FALSE)</f>
        <v>283.1693834194545</v>
      </c>
      <c r="L132" s="241">
        <f>VLOOKUP($A122,Elanikud!$A$1:$S$20,Elanikud!H$21,FALSE)</f>
        <v>285.17220310812468</v>
      </c>
      <c r="M132" s="241">
        <f>VLOOKUP($A122,Elanikud!$A$1:$S$20,Elanikud!I$21,FALSE)</f>
        <v>287.12044144942342</v>
      </c>
      <c r="N132" s="241">
        <f>VLOOKUP($A122,Elanikud!$A$1:$S$20,Elanikud!J$21,FALSE)</f>
        <v>289.02808209433022</v>
      </c>
      <c r="O132" s="241">
        <f>VLOOKUP($A122,Elanikud!$A$1:$S$20,Elanikud!K$21,FALSE)</f>
        <v>290.89602721387593</v>
      </c>
      <c r="P132" s="241">
        <f>VLOOKUP($A122,Elanikud!$A$1:$S$20,Elanikud!L$21,FALSE)</f>
        <v>292.74457565625664</v>
      </c>
      <c r="Q132" s="241">
        <f>VLOOKUP($A122,Elanikud!$A$1:$S$20,Elanikud!M$21,FALSE)</f>
        <v>294.57733610559603</v>
      </c>
      <c r="R132" s="241">
        <f>VLOOKUP($A122,Elanikud!$A$1:$S$20,Elanikud!N$21,FALSE)</f>
        <v>296.40107484462607</v>
      </c>
      <c r="S132" s="241">
        <f>VLOOKUP($A122,Elanikud!$A$1:$S$20,Elanikud!O$21,FALSE)</f>
        <v>298.21940055747052</v>
      </c>
      <c r="T132" s="241">
        <f>VLOOKUP($A122,Elanikud!$A$1:$S$20,Elanikud!P$21,FALSE)</f>
        <v>300.04765015165526</v>
      </c>
      <c r="U132" s="241">
        <f>VLOOKUP($A122,Elanikud!$A$1:$S$20,Elanikud!Q$21,FALSE)</f>
        <v>301.89439425197406</v>
      </c>
    </row>
    <row r="133" spans="1:36" x14ac:dyDescent="0.35">
      <c r="A133" s="35" t="s">
        <v>43</v>
      </c>
      <c r="B133" s="33"/>
      <c r="C133" s="33"/>
      <c r="D133" s="33"/>
      <c r="E133" s="231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W133" s="319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</row>
    <row r="134" spans="1:36" ht="16.5" x14ac:dyDescent="0.35">
      <c r="A134" s="30" t="s">
        <v>132</v>
      </c>
      <c r="B134" s="31" t="s">
        <v>125</v>
      </c>
      <c r="C134" s="53">
        <f t="shared" ref="C134:C139" si="294">G134/365</f>
        <v>59.304109589041097</v>
      </c>
      <c r="D134" s="53">
        <f t="shared" ref="D134:D139" si="295">U134/365</f>
        <v>55.738696730033183</v>
      </c>
      <c r="E134" s="214">
        <f>SM!U5</f>
        <v>19925</v>
      </c>
      <c r="F134" s="185">
        <f>ABS(SUMIFS(SM!J:J,SM!$C:$C,"too",SM!$D:$D,$E122))+F139</f>
        <v>14576.1</v>
      </c>
      <c r="G134" s="214">
        <f>SM!W5</f>
        <v>21646</v>
      </c>
      <c r="H134" s="214"/>
      <c r="I134" s="47">
        <f>(I135+I138)/(100%-I140)</f>
        <v>19047.939976722522</v>
      </c>
      <c r="J134" s="4">
        <f t="shared" ref="J134" si="296">(J135+J138)/(100%-J140)</f>
        <v>19167.404372156627</v>
      </c>
      <c r="K134" s="4">
        <f t="shared" ref="K134" si="297">(K135+K138)/(100%-K140)</f>
        <v>19284.083990195017</v>
      </c>
      <c r="L134" s="4">
        <f t="shared" ref="L134" si="298">(L135+L138)/(100%-L140)</f>
        <v>19397.518959341171</v>
      </c>
      <c r="M134" s="4">
        <f t="shared" ref="M134" si="299">(M135+M138)/(100%-M140)</f>
        <v>19507.862570093923</v>
      </c>
      <c r="N134" s="4">
        <f t="shared" ref="N134" si="300">(N135+N138)/(100%-N140)</f>
        <v>19615.906823363988</v>
      </c>
      <c r="O134" s="4">
        <f t="shared" ref="O134" si="301">(O135+O138)/(100%-O140)</f>
        <v>19721.702815984307</v>
      </c>
      <c r="P134" s="4">
        <f t="shared" ref="P134" si="302">(P135+P138)/(100%-P140)</f>
        <v>19826.400226696231</v>
      </c>
      <c r="Q134" s="4">
        <f t="shared" ref="Q134" si="303">(Q135+Q138)/(100%-Q140)</f>
        <v>19930.203442831549</v>
      </c>
      <c r="R134" s="4">
        <f t="shared" ref="R134" si="304">(R135+R138)/(100%-R140)</f>
        <v>20033.495690637377</v>
      </c>
      <c r="S134" s="4">
        <f t="shared" ref="S134" si="305">(S135+S138)/(100%-S140)</f>
        <v>20136.481357445515</v>
      </c>
      <c r="T134" s="4">
        <f t="shared" ref="T134" si="306">(T135+T138)/(100%-T140)</f>
        <v>20240.029089416093</v>
      </c>
      <c r="U134" s="4">
        <f t="shared" ref="U134" si="307">(U135+U138)/(100%-U140)</f>
        <v>20344.624306462112</v>
      </c>
      <c r="W134" s="320"/>
      <c r="X134" s="334"/>
      <c r="Y134" s="334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</row>
    <row r="135" spans="1:36" ht="16.5" x14ac:dyDescent="0.35">
      <c r="A135" s="30" t="s">
        <v>133</v>
      </c>
      <c r="B135" s="31" t="s">
        <v>125</v>
      </c>
      <c r="C135" s="53">
        <f t="shared" si="294"/>
        <v>38.359534246575329</v>
      </c>
      <c r="D135" s="53">
        <f t="shared" si="295"/>
        <v>41.804022547524887</v>
      </c>
      <c r="E135" s="45">
        <f>E136+E137</f>
        <v>13856.099999999995</v>
      </c>
      <c r="F135" s="45">
        <f>F136+F137</f>
        <v>14576.1</v>
      </c>
      <c r="G135" s="45">
        <f>G136+G137</f>
        <v>14001.229999999994</v>
      </c>
      <c r="H135" s="45"/>
      <c r="I135" s="48">
        <f t="shared" ref="I135" si="308">I136+I137</f>
        <v>14285.954982541893</v>
      </c>
      <c r="J135" s="12">
        <f t="shared" ref="J135" si="309">J136+J137</f>
        <v>14375.55327911747</v>
      </c>
      <c r="K135" s="12">
        <f t="shared" ref="K135" si="310">K136+K137</f>
        <v>14463.062992646263</v>
      </c>
      <c r="L135" s="12">
        <f t="shared" ref="L135" si="311">L136+L137</f>
        <v>14548.139219505878</v>
      </c>
      <c r="M135" s="12">
        <f t="shared" ref="M135" si="312">M136+M137</f>
        <v>14630.896927570442</v>
      </c>
      <c r="N135" s="12">
        <f t="shared" ref="N135" si="313">N136+N137</f>
        <v>14711.93011752299</v>
      </c>
      <c r="O135" s="12">
        <f t="shared" ref="O135" si="314">O136+O137</f>
        <v>14791.277111988229</v>
      </c>
      <c r="P135" s="12">
        <f t="shared" ref="P135" si="315">P136+P137</f>
        <v>14869.800170022172</v>
      </c>
      <c r="Q135" s="12">
        <f t="shared" ref="Q135" si="316">Q136+Q137</f>
        <v>14947.652582123661</v>
      </c>
      <c r="R135" s="12">
        <f t="shared" ref="R135" si="317">R136+R137</f>
        <v>15025.121767978033</v>
      </c>
      <c r="S135" s="12">
        <f t="shared" ref="S135" si="318">S136+S137</f>
        <v>15102.361018084135</v>
      </c>
      <c r="T135" s="12">
        <f t="shared" ref="T135" si="319">T136+T137</f>
        <v>15180.02181706207</v>
      </c>
      <c r="U135" s="12">
        <f t="shared" ref="U135" si="320">U136+U137</f>
        <v>15258.468229846585</v>
      </c>
    </row>
    <row r="136" spans="1:36" ht="16.5" x14ac:dyDescent="0.35">
      <c r="A136" s="30" t="s">
        <v>134</v>
      </c>
      <c r="B136" s="31" t="s">
        <v>125</v>
      </c>
      <c r="C136" s="53">
        <f t="shared" si="294"/>
        <v>31.689589041095871</v>
      </c>
      <c r="D136" s="53">
        <f t="shared" si="295"/>
        <v>35.134077342045437</v>
      </c>
      <c r="E136" s="45">
        <f>ABS(SUMIFS(SM!I:I,SM!$C:$C,"era",SM!$D:$D,$E122))</f>
        <v>12296.029999999995</v>
      </c>
      <c r="F136" s="45">
        <f>ABS(SUMIFS(SM!J:J,SM!$C:$C,"era",SM!$D:$D,$E122))</f>
        <v>12289.35</v>
      </c>
      <c r="G136" s="45">
        <f>ABS(SUMIFS(SM!K:K,SM!$C:$C,"era",SM!$D:$D,$E122))</f>
        <v>11566.699999999993</v>
      </c>
      <c r="H136" s="71"/>
      <c r="I136" s="47">
        <f t="shared" ref="I136:U136" si="321">I142*I141*365/1000</f>
        <v>11851.424982541892</v>
      </c>
      <c r="J136" s="4">
        <f t="shared" si="321"/>
        <v>11941.023279117469</v>
      </c>
      <c r="K136" s="4">
        <f t="shared" si="321"/>
        <v>12028.532992646262</v>
      </c>
      <c r="L136" s="4">
        <f t="shared" si="321"/>
        <v>12113.609219505877</v>
      </c>
      <c r="M136" s="4">
        <f t="shared" si="321"/>
        <v>12196.366927570441</v>
      </c>
      <c r="N136" s="4">
        <f t="shared" si="321"/>
        <v>12277.40011752299</v>
      </c>
      <c r="O136" s="4">
        <f t="shared" si="321"/>
        <v>12356.747111988228</v>
      </c>
      <c r="P136" s="4">
        <f t="shared" si="321"/>
        <v>12435.270170022171</v>
      </c>
      <c r="Q136" s="4">
        <f t="shared" si="321"/>
        <v>12513.12258212366</v>
      </c>
      <c r="R136" s="4">
        <f t="shared" si="321"/>
        <v>12590.591767978032</v>
      </c>
      <c r="S136" s="4">
        <f t="shared" si="321"/>
        <v>12667.831018084134</v>
      </c>
      <c r="T136" s="4">
        <f t="shared" si="321"/>
        <v>12745.491817062069</v>
      </c>
      <c r="U136" s="4">
        <f t="shared" si="321"/>
        <v>12823.938229846584</v>
      </c>
    </row>
    <row r="137" spans="1:36" ht="16.5" x14ac:dyDescent="0.35">
      <c r="A137" s="30" t="s">
        <v>498</v>
      </c>
      <c r="B137" s="31" t="s">
        <v>125</v>
      </c>
      <c r="C137" s="226">
        <f t="shared" si="294"/>
        <v>6.6699452054794541</v>
      </c>
      <c r="D137" s="226">
        <f t="shared" si="295"/>
        <v>6.6699452054794541</v>
      </c>
      <c r="E137" s="45">
        <f>ABS(SUMIFS(SM!I:I,SM!$C:$C,"jur",SM!$D:$D,$E122))</f>
        <v>1560.07</v>
      </c>
      <c r="F137" s="45">
        <f>ABS(SUMIFS(SM!J:J,SM!$C:$C,"jur",SM!$D:$D,$E122))</f>
        <v>2286.75</v>
      </c>
      <c r="G137" s="45">
        <f>ABS(SUMIFS(SM!K:K,SM!$C:$C,"jur",SM!$D:$D,$E122))</f>
        <v>2434.5300000000007</v>
      </c>
      <c r="H137" s="71"/>
      <c r="I137" s="76">
        <f>G137</f>
        <v>2434.5300000000007</v>
      </c>
      <c r="J137" s="4">
        <f t="shared" ref="J137:U137" si="322">I137</f>
        <v>2434.5300000000007</v>
      </c>
      <c r="K137" s="4">
        <f t="shared" si="322"/>
        <v>2434.5300000000007</v>
      </c>
      <c r="L137" s="4">
        <f t="shared" si="322"/>
        <v>2434.5300000000007</v>
      </c>
      <c r="M137" s="4">
        <f t="shared" si="322"/>
        <v>2434.5300000000007</v>
      </c>
      <c r="N137" s="4">
        <f t="shared" si="322"/>
        <v>2434.5300000000007</v>
      </c>
      <c r="O137" s="4">
        <f t="shared" si="322"/>
        <v>2434.5300000000007</v>
      </c>
      <c r="P137" s="4">
        <f t="shared" si="322"/>
        <v>2434.5300000000007</v>
      </c>
      <c r="Q137" s="4">
        <f t="shared" si="322"/>
        <v>2434.5300000000007</v>
      </c>
      <c r="R137" s="4">
        <f t="shared" si="322"/>
        <v>2434.5300000000007</v>
      </c>
      <c r="S137" s="4">
        <f t="shared" si="322"/>
        <v>2434.5300000000007</v>
      </c>
      <c r="T137" s="4">
        <f t="shared" si="322"/>
        <v>2434.5300000000007</v>
      </c>
      <c r="U137" s="4">
        <f t="shared" si="322"/>
        <v>2434.5300000000007</v>
      </c>
    </row>
    <row r="138" spans="1:36" s="70" customFormat="1" x14ac:dyDescent="0.35">
      <c r="A138" s="260" t="s">
        <v>525</v>
      </c>
      <c r="B138" s="256" t="s">
        <v>521</v>
      </c>
      <c r="C138" s="269">
        <f t="shared" si="294"/>
        <v>0</v>
      </c>
      <c r="D138" s="269">
        <f t="shared" si="295"/>
        <v>0</v>
      </c>
      <c r="E138" s="270">
        <f>ABS(SUMIFS(SM!I:I,SM!$C:$C,"OMA",SM!$D:$D,$E122))</f>
        <v>0</v>
      </c>
      <c r="F138" s="270">
        <f>ABS(SUMIFS(SM!J:J,SM!$C:$C,"OMA",SM!$D:$D,$E122))</f>
        <v>0</v>
      </c>
      <c r="G138" s="270">
        <f>ABS(SUMIFS(SM!K:K,SM!$C:$C,"OMA",SM!$D:$D,$E122))</f>
        <v>0</v>
      </c>
      <c r="H138" s="270"/>
      <c r="I138" s="276">
        <f>IFERROR(AVERAGE(E138:G138),0)</f>
        <v>0</v>
      </c>
      <c r="J138" s="264">
        <f t="shared" ref="J138:U138" si="323">I138</f>
        <v>0</v>
      </c>
      <c r="K138" s="264">
        <f t="shared" si="323"/>
        <v>0</v>
      </c>
      <c r="L138" s="264">
        <f t="shared" si="323"/>
        <v>0</v>
      </c>
      <c r="M138" s="264">
        <f t="shared" si="323"/>
        <v>0</v>
      </c>
      <c r="N138" s="264">
        <f t="shared" si="323"/>
        <v>0</v>
      </c>
      <c r="O138" s="264">
        <f t="shared" si="323"/>
        <v>0</v>
      </c>
      <c r="P138" s="264">
        <f t="shared" si="323"/>
        <v>0</v>
      </c>
      <c r="Q138" s="264">
        <f t="shared" si="323"/>
        <v>0</v>
      </c>
      <c r="R138" s="264">
        <f t="shared" si="323"/>
        <v>0</v>
      </c>
      <c r="S138" s="264">
        <f t="shared" si="323"/>
        <v>0</v>
      </c>
      <c r="T138" s="264">
        <f t="shared" si="323"/>
        <v>0</v>
      </c>
      <c r="U138" s="264">
        <f t="shared" si="323"/>
        <v>0</v>
      </c>
      <c r="W138" s="318"/>
      <c r="X138" s="332"/>
      <c r="Y138" s="332"/>
      <c r="Z138" s="332"/>
      <c r="AA138" s="332"/>
      <c r="AB138" s="332"/>
      <c r="AC138" s="332"/>
      <c r="AD138" s="332"/>
      <c r="AE138" s="332"/>
      <c r="AF138" s="332"/>
      <c r="AG138" s="332"/>
      <c r="AH138" s="332"/>
      <c r="AI138" s="332"/>
      <c r="AJ138" s="332"/>
    </row>
    <row r="139" spans="1:36" ht="16.5" x14ac:dyDescent="0.35">
      <c r="A139" s="30" t="s">
        <v>135</v>
      </c>
      <c r="B139" s="31" t="s">
        <v>125</v>
      </c>
      <c r="C139" s="226">
        <f t="shared" si="294"/>
        <v>20.944575342465768</v>
      </c>
      <c r="D139" s="226">
        <f t="shared" si="295"/>
        <v>13.934674182508296</v>
      </c>
      <c r="E139" s="214">
        <f>E134-E135-E138</f>
        <v>6068.9000000000051</v>
      </c>
      <c r="F139" s="185">
        <f>ABS(SUMIFS(SM!J:J,SM!$C:$C,"KAD",SM!$D:$D,$E122))</f>
        <v>704.38</v>
      </c>
      <c r="G139" s="214">
        <f t="shared" ref="G139" si="324">G134-G135-G138</f>
        <v>7644.7700000000059</v>
      </c>
      <c r="H139" s="45"/>
      <c r="I139" s="47">
        <f>I140*I134</f>
        <v>4761.9849941806306</v>
      </c>
      <c r="J139" s="4">
        <f t="shared" ref="J139" si="325">J140*J134</f>
        <v>4791.8510930391567</v>
      </c>
      <c r="K139" s="4">
        <f t="shared" ref="K139" si="326">K140*K134</f>
        <v>4821.0209975487542</v>
      </c>
      <c r="L139" s="4">
        <f t="shared" ref="L139" si="327">L140*L134</f>
        <v>4849.3797398352926</v>
      </c>
      <c r="M139" s="4">
        <f t="shared" ref="M139" si="328">M140*M134</f>
        <v>4876.9656425234807</v>
      </c>
      <c r="N139" s="4">
        <f t="shared" ref="N139" si="329">N140*N134</f>
        <v>4903.9767058409971</v>
      </c>
      <c r="O139" s="4">
        <f t="shared" ref="O139" si="330">O140*O134</f>
        <v>4930.4257039960767</v>
      </c>
      <c r="P139" s="4">
        <f t="shared" ref="P139" si="331">P140*P134</f>
        <v>4956.6000566740577</v>
      </c>
      <c r="Q139" s="4">
        <f t="shared" ref="Q139" si="332">Q140*Q134</f>
        <v>4982.5508607078873</v>
      </c>
      <c r="R139" s="4">
        <f t="shared" ref="R139" si="333">R140*R134</f>
        <v>5008.3739226593443</v>
      </c>
      <c r="S139" s="4">
        <f t="shared" ref="S139" si="334">S140*S134</f>
        <v>5034.1203393613787</v>
      </c>
      <c r="T139" s="4">
        <f t="shared" ref="T139" si="335">T140*T134</f>
        <v>5060.0072723540234</v>
      </c>
      <c r="U139" s="4">
        <f t="shared" ref="U139" si="336">U140*U134</f>
        <v>5086.156076615528</v>
      </c>
    </row>
    <row r="140" spans="1:36" x14ac:dyDescent="0.35">
      <c r="A140" s="30" t="s">
        <v>135</v>
      </c>
      <c r="B140" s="31" t="s">
        <v>131</v>
      </c>
      <c r="C140" s="73">
        <f>G140</f>
        <v>0.35317241060704085</v>
      </c>
      <c r="D140" s="54">
        <f>U140</f>
        <v>0.25</v>
      </c>
      <c r="E140" s="50">
        <f>IFERROR(E139/E134,"")</f>
        <v>0.30458720200752848</v>
      </c>
      <c r="F140" s="230">
        <f>IFERROR(F139/F134,"")</f>
        <v>4.8324311715753868E-2</v>
      </c>
      <c r="G140" s="50">
        <f>IFERROR(G139/G134,"")</f>
        <v>0.35317241060704085</v>
      </c>
      <c r="H140" s="50" t="str">
        <f>IFERROR(H139/H134,"")</f>
        <v/>
      </c>
      <c r="I140" s="227">
        <f>$AK$47</f>
        <v>0.25</v>
      </c>
      <c r="J140" s="38">
        <f t="shared" ref="J140:U140" si="337">I140</f>
        <v>0.25</v>
      </c>
      <c r="K140" s="38">
        <f t="shared" si="337"/>
        <v>0.25</v>
      </c>
      <c r="L140" s="38">
        <f t="shared" si="337"/>
        <v>0.25</v>
      </c>
      <c r="M140" s="38">
        <f t="shared" si="337"/>
        <v>0.25</v>
      </c>
      <c r="N140" s="38">
        <f t="shared" si="337"/>
        <v>0.25</v>
      </c>
      <c r="O140" s="38">
        <f t="shared" si="337"/>
        <v>0.25</v>
      </c>
      <c r="P140" s="38">
        <f t="shared" si="337"/>
        <v>0.25</v>
      </c>
      <c r="Q140" s="38">
        <f t="shared" si="337"/>
        <v>0.25</v>
      </c>
      <c r="R140" s="38">
        <f t="shared" si="337"/>
        <v>0.25</v>
      </c>
      <c r="S140" s="38">
        <f t="shared" si="337"/>
        <v>0.25</v>
      </c>
      <c r="T140" s="38">
        <f t="shared" si="337"/>
        <v>0.25</v>
      </c>
      <c r="U140" s="38">
        <f t="shared" si="337"/>
        <v>0.25</v>
      </c>
    </row>
    <row r="141" spans="1:36" s="70" customFormat="1" x14ac:dyDescent="0.35">
      <c r="A141" s="181" t="s">
        <v>128</v>
      </c>
      <c r="B141" s="182" t="s">
        <v>129</v>
      </c>
      <c r="C141" s="211">
        <f>G141</f>
        <v>116.37870066815823</v>
      </c>
      <c r="D141" s="211">
        <f>U141</f>
        <v>116.37870066815823</v>
      </c>
      <c r="E141" s="71">
        <f>IFERROR(E136/E142/365*1000,0)</f>
        <v>133.46836204484688</v>
      </c>
      <c r="F141" s="71">
        <f>IFERROR(F136/F142/365*1000,0)</f>
        <v>128.75209662732485</v>
      </c>
      <c r="G141" s="71">
        <f>IFERROR(G136/G142/365*1000,0)</f>
        <v>116.37870066815823</v>
      </c>
      <c r="H141" s="71"/>
      <c r="I141" s="76">
        <f>G141</f>
        <v>116.37870066815823</v>
      </c>
      <c r="J141" s="4">
        <f>IF(I141=0,0,IF(I141&gt;Veehind!$B$16,I141,I141+(Veehind!$B$16-$I141)/12))</f>
        <v>116.37870066815823</v>
      </c>
      <c r="K141" s="4">
        <f>IF(J141=0,0,IF(J141&gt;Veehind!$B$16,J141,J141+(Veehind!$B$16-$I141)/12))</f>
        <v>116.37870066815823</v>
      </c>
      <c r="L141" s="4">
        <f>IF(K141=0,0,IF(K141&gt;Veehind!$B$16,K141,K141+(Veehind!$B$16-$I141)/12))</f>
        <v>116.37870066815823</v>
      </c>
      <c r="M141" s="4">
        <f>IF(L141=0,0,IF(L141&gt;Veehind!$B$16,L141,L141+(Veehind!$B$16-$I141)/12))</f>
        <v>116.37870066815823</v>
      </c>
      <c r="N141" s="4">
        <f>IF(M141=0,0,IF(M141&gt;Veehind!$B$16,M141,M141+(Veehind!$B$16-$I141)/12))</f>
        <v>116.37870066815823</v>
      </c>
      <c r="O141" s="4">
        <f>IF(N141=0,0,IF(N141&gt;Veehind!$B$16,N141,N141+(Veehind!$B$16-$I141)/12))</f>
        <v>116.37870066815823</v>
      </c>
      <c r="P141" s="4">
        <f>IF(O141=0,0,IF(O141&gt;Veehind!$B$16,O141,O141+(Veehind!$B$16-$I141)/12))</f>
        <v>116.37870066815823</v>
      </c>
      <c r="Q141" s="4">
        <f>IF(P141=0,0,IF(P141&gt;Veehind!$B$16,P141,P141+(Veehind!$B$16-$I141)/12))</f>
        <v>116.37870066815823</v>
      </c>
      <c r="R141" s="4">
        <f>IF(Q141=0,0,IF(Q141&gt;Veehind!$B$16,Q141,Q141+(Veehind!$B$16-$I141)/12))</f>
        <v>116.37870066815823</v>
      </c>
      <c r="S141" s="4">
        <f>IF(R141=0,0,IF(R141&gt;Veehind!$B$16,R141,R141+(Veehind!$B$16-$I141)/12))</f>
        <v>116.37870066815823</v>
      </c>
      <c r="T141" s="4">
        <f>IF(S141=0,0,IF(S141&gt;Veehind!$B$16,S141,S141+(Veehind!$B$16-$I141)/12))</f>
        <v>116.37870066815823</v>
      </c>
      <c r="U141" s="4">
        <f>IF(T141=0,0,IF(T141&gt;Veehind!$B$16,T141,T141+(Veehind!$B$16-$I141)/12))</f>
        <v>116.37870066815823</v>
      </c>
      <c r="W141" s="321"/>
      <c r="X141" s="336"/>
      <c r="Y141" s="336"/>
      <c r="Z141" s="336"/>
      <c r="AA141" s="336"/>
      <c r="AB141" s="336"/>
      <c r="AC141" s="336"/>
      <c r="AD141" s="336"/>
      <c r="AE141" s="336"/>
      <c r="AF141" s="336"/>
      <c r="AG141" s="336"/>
      <c r="AH141" s="336"/>
      <c r="AI141" s="336"/>
      <c r="AJ141" s="336"/>
    </row>
    <row r="142" spans="1:36" s="242" customFormat="1" x14ac:dyDescent="0.35">
      <c r="A142" s="77" t="s">
        <v>136</v>
      </c>
      <c r="B142" s="78" t="s">
        <v>137</v>
      </c>
      <c r="C142" s="355">
        <f>G142</f>
        <v>272.29715454080764</v>
      </c>
      <c r="D142" s="355">
        <f>U142</f>
        <v>301.89439425197406</v>
      </c>
      <c r="E142" s="215">
        <f>VLOOKUP($A122,Elanikud!$A$22:$S$41,Elanikud!B$21,FALSE)</f>
        <v>252.40253876299204</v>
      </c>
      <c r="F142" s="215">
        <f>VLOOKUP($A122,Elanikud!$A$22:$S$41,Elanikud!C$21,FALSE)</f>
        <v>261.50604873061855</v>
      </c>
      <c r="G142" s="215">
        <f>VLOOKUP($A122,Elanikud!$A$22:$S$41,Elanikud!D$21,FALSE)</f>
        <v>272.29715454080764</v>
      </c>
      <c r="H142" s="215">
        <f>VLOOKUP($A122,Elanikud!$A$22:$S$41,Elanikud!E$21,FALSE)</f>
        <v>279</v>
      </c>
      <c r="I142" s="62">
        <f>VLOOKUP($A122,Elanikud!$A$22:$S$41,Elanikud!E$21,FALSE)</f>
        <v>279</v>
      </c>
      <c r="J142" s="241">
        <f>VLOOKUP($A122,Elanikud!$A$22:$S$41,Elanikud!F$21,FALSE)</f>
        <v>281.10927587032018</v>
      </c>
      <c r="K142" s="241">
        <f>VLOOKUP($A122,Elanikud!$A$22:$S$41,Elanikud!G$21,FALSE)</f>
        <v>283.1693834194545</v>
      </c>
      <c r="L142" s="241">
        <f>VLOOKUP($A122,Elanikud!$A$22:$S$41,Elanikud!H$21,FALSE)</f>
        <v>285.17220310812468</v>
      </c>
      <c r="M142" s="241">
        <f>VLOOKUP($A122,Elanikud!$A$22:$S$41,Elanikud!I$21,FALSE)</f>
        <v>287.12044144942342</v>
      </c>
      <c r="N142" s="241">
        <f>VLOOKUP($A122,Elanikud!$A$22:$S$41,Elanikud!J$21,FALSE)</f>
        <v>289.02808209433022</v>
      </c>
      <c r="O142" s="241">
        <f>VLOOKUP($A122,Elanikud!$A$22:$S$41,Elanikud!K$21,FALSE)</f>
        <v>290.89602721387593</v>
      </c>
      <c r="P142" s="241">
        <f>VLOOKUP($A122,Elanikud!$A$22:$S$41,Elanikud!L$21,FALSE)</f>
        <v>292.74457565625664</v>
      </c>
      <c r="Q142" s="241">
        <f>VLOOKUP($A122,Elanikud!$A$22:$S$41,Elanikud!M$21,FALSE)</f>
        <v>294.57733610559603</v>
      </c>
      <c r="R142" s="241">
        <f>VLOOKUP($A122,Elanikud!$A$22:$S$41,Elanikud!N$21,FALSE)</f>
        <v>296.40107484462607</v>
      </c>
      <c r="S142" s="241">
        <f>VLOOKUP($A122,Elanikud!$A$22:$S$41,Elanikud!O$21,FALSE)</f>
        <v>298.21940055747052</v>
      </c>
      <c r="T142" s="241">
        <f>VLOOKUP($A122,Elanikud!$A$22:$S$41,Elanikud!P$21,FALSE)</f>
        <v>300.04765015165526</v>
      </c>
      <c r="U142" s="241">
        <f>VLOOKUP($A122,Elanikud!$A$22:$S$41,Elanikud!Q$21,FALSE)</f>
        <v>301.89439425197406</v>
      </c>
      <c r="V142" s="7"/>
      <c r="W142" s="318"/>
      <c r="X142" s="332"/>
      <c r="Y142" s="332"/>
      <c r="Z142" s="332"/>
      <c r="AA142" s="332"/>
      <c r="AB142" s="332"/>
      <c r="AC142" s="332"/>
      <c r="AD142" s="332"/>
      <c r="AE142" s="332"/>
      <c r="AF142" s="332"/>
      <c r="AG142" s="332"/>
      <c r="AH142" s="332"/>
      <c r="AI142" s="332"/>
      <c r="AJ142" s="332"/>
    </row>
    <row r="143" spans="1:36" x14ac:dyDescent="0.35">
      <c r="A143" s="36" t="s">
        <v>434</v>
      </c>
      <c r="B143" s="36"/>
      <c r="C143" s="36"/>
      <c r="D143" s="36"/>
      <c r="E143" s="41" t="s">
        <v>434</v>
      </c>
      <c r="F143" s="41"/>
      <c r="G143" s="41"/>
      <c r="H143" s="41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36" x14ac:dyDescent="0.35">
      <c r="A144" s="34" t="s">
        <v>21</v>
      </c>
      <c r="B144" s="32"/>
      <c r="C144" s="32"/>
      <c r="D144" s="32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</row>
    <row r="145" spans="1:36" ht="16.5" x14ac:dyDescent="0.35">
      <c r="A145" s="30" t="s">
        <v>124</v>
      </c>
      <c r="B145" s="31" t="s">
        <v>125</v>
      </c>
      <c r="C145" s="53">
        <f t="shared" ref="C145:C150" si="338">G145/365</f>
        <v>194.94520547945206</v>
      </c>
      <c r="D145" s="72">
        <f t="shared" ref="D145:D150" si="339">U145/365</f>
        <v>219.3970740758021</v>
      </c>
      <c r="E145" s="46">
        <f>SUMIFS(SM!F:F,SM!$C:$C,"TOO",SM!$D:$D,$E143)</f>
        <v>75574</v>
      </c>
      <c r="F145" s="46">
        <f>SUMIFS(SM!G:G,SM!$C:$C,"TOO",SM!$D:$D,$E143)</f>
        <v>63619</v>
      </c>
      <c r="G145" s="46">
        <f>SUMIFS(SM!H:H,SM!$C:$C,"TOO",SM!$D:$D,$E143)</f>
        <v>71155</v>
      </c>
      <c r="H145" s="46">
        <f>SUMIFS(SM!$R:$R,SM!M:M,Q!E143)</f>
        <v>36916</v>
      </c>
      <c r="I145" s="76">
        <f t="shared" ref="I145:U145" si="340">(I146+I149)/(100%-I151)</f>
        <v>73941.356347636029</v>
      </c>
      <c r="J145" s="4">
        <f t="shared" si="340"/>
        <v>74124.672643098893</v>
      </c>
      <c r="K145" s="4">
        <f t="shared" si="340"/>
        <v>74303.715740057582</v>
      </c>
      <c r="L145" s="4">
        <f t="shared" si="340"/>
        <v>82775.446639370755</v>
      </c>
      <c r="M145" s="4">
        <f t="shared" si="340"/>
        <v>78795.933896307746</v>
      </c>
      <c r="N145" s="4">
        <f t="shared" si="340"/>
        <v>78961.726157537953</v>
      </c>
      <c r="O145" s="4">
        <f t="shared" si="340"/>
        <v>79124.068497040018</v>
      </c>
      <c r="P145" s="4">
        <f t="shared" si="340"/>
        <v>79284.725079334035</v>
      </c>
      <c r="Q145" s="4">
        <f t="shared" si="340"/>
        <v>79444.009533667981</v>
      </c>
      <c r="R145" s="4">
        <f t="shared" si="340"/>
        <v>79602.509914881914</v>
      </c>
      <c r="S145" s="4">
        <f t="shared" si="340"/>
        <v>79760.53985222381</v>
      </c>
      <c r="T145" s="4">
        <f t="shared" si="340"/>
        <v>79919.432269997764</v>
      </c>
      <c r="U145" s="4">
        <f t="shared" si="340"/>
        <v>80079.932037667764</v>
      </c>
    </row>
    <row r="146" spans="1:36" ht="16.5" x14ac:dyDescent="0.35">
      <c r="A146" s="30" t="s">
        <v>126</v>
      </c>
      <c r="B146" s="31" t="s">
        <v>125</v>
      </c>
      <c r="C146" s="53">
        <f t="shared" si="338"/>
        <v>168.32101369863008</v>
      </c>
      <c r="D146" s="53">
        <f t="shared" si="339"/>
        <v>184.89363150840452</v>
      </c>
      <c r="E146" s="46">
        <f>E147+E148</f>
        <v>57368.380000000012</v>
      </c>
      <c r="F146" s="64">
        <f>F147+F148</f>
        <v>59009.650000000016</v>
      </c>
      <c r="G146" s="64">
        <f>G147+G148</f>
        <v>61437.169999999984</v>
      </c>
      <c r="H146" s="46"/>
      <c r="I146" s="48">
        <f t="shared" ref="I146:U146" si="341">I147+I148</f>
        <v>61961.457379539097</v>
      </c>
      <c r="J146" s="12">
        <f t="shared" si="341"/>
        <v>62126.442045455668</v>
      </c>
      <c r="K146" s="12">
        <f t="shared" si="341"/>
        <v>62287.580832718493</v>
      </c>
      <c r="L146" s="12">
        <f>L147+L148+365*10.23</f>
        <v>69912.138642100341</v>
      </c>
      <c r="M146" s="12">
        <f t="shared" si="341"/>
        <v>66330.577173343641</v>
      </c>
      <c r="N146" s="12">
        <f t="shared" si="341"/>
        <v>66479.790208450824</v>
      </c>
      <c r="O146" s="12">
        <f t="shared" si="341"/>
        <v>66625.898314002683</v>
      </c>
      <c r="P146" s="12">
        <f t="shared" si="341"/>
        <v>66770.489238067297</v>
      </c>
      <c r="Q146" s="12">
        <f t="shared" si="341"/>
        <v>66913.845246967845</v>
      </c>
      <c r="R146" s="12">
        <f t="shared" si="341"/>
        <v>67056.495590060382</v>
      </c>
      <c r="S146" s="12">
        <f t="shared" si="341"/>
        <v>67198.7225336681</v>
      </c>
      <c r="T146" s="12">
        <f t="shared" si="341"/>
        <v>67341.72570966465</v>
      </c>
      <c r="U146" s="12">
        <f t="shared" si="341"/>
        <v>67486.175500567653</v>
      </c>
    </row>
    <row r="147" spans="1:36" ht="16.5" x14ac:dyDescent="0.35">
      <c r="A147" s="30" t="s">
        <v>127</v>
      </c>
      <c r="B147" s="31" t="s">
        <v>125</v>
      </c>
      <c r="C147" s="53">
        <f t="shared" si="338"/>
        <v>58.352630136986292</v>
      </c>
      <c r="D147" s="53">
        <f t="shared" si="339"/>
        <v>64.695247946760716</v>
      </c>
      <c r="E147" s="46">
        <f>ABS(SUMIFS(SM!F:F,SM!$C:$C,"ERA",SM!$D:$D,$E143))</f>
        <v>20134.22</v>
      </c>
      <c r="F147" s="46">
        <f>ABS(SUMIFS(SM!G:G,SM!$C:$C,"ERA",SM!$D:$D,$E143))</f>
        <v>21830.339999999982</v>
      </c>
      <c r="G147" s="46">
        <f>ABS(SUMIFS(SM!H:H,SM!$C:$C,"ERA",SM!$D:$D,$E143))</f>
        <v>21298.709999999995</v>
      </c>
      <c r="H147" s="64"/>
      <c r="I147" s="47">
        <f t="shared" ref="I147:U147" si="342">I152*I153/1000*365</f>
        <v>21822.997379539105</v>
      </c>
      <c r="J147" s="4">
        <f t="shared" si="342"/>
        <v>21987.982045455676</v>
      </c>
      <c r="K147" s="4">
        <f t="shared" si="342"/>
        <v>22149.120832718501</v>
      </c>
      <c r="L147" s="4">
        <f t="shared" si="342"/>
        <v>22305.778642100358</v>
      </c>
      <c r="M147" s="4">
        <f t="shared" si="342"/>
        <v>22458.167173343656</v>
      </c>
      <c r="N147" s="4">
        <f t="shared" si="342"/>
        <v>22607.380208450839</v>
      </c>
      <c r="O147" s="4">
        <f t="shared" si="342"/>
        <v>22753.488314002698</v>
      </c>
      <c r="P147" s="4">
        <f t="shared" si="342"/>
        <v>22898.079238067305</v>
      </c>
      <c r="Q147" s="4">
        <f t="shared" si="342"/>
        <v>23041.43524696786</v>
      </c>
      <c r="R147" s="4">
        <f t="shared" si="342"/>
        <v>23184.085590060396</v>
      </c>
      <c r="S147" s="4">
        <f t="shared" si="342"/>
        <v>23326.312533668115</v>
      </c>
      <c r="T147" s="4">
        <f t="shared" si="342"/>
        <v>23469.315709664657</v>
      </c>
      <c r="U147" s="4">
        <f t="shared" si="342"/>
        <v>23613.765500567661</v>
      </c>
    </row>
    <row r="148" spans="1:36" ht="16.5" x14ac:dyDescent="0.35">
      <c r="A148" s="30" t="s">
        <v>497</v>
      </c>
      <c r="B148" s="31" t="s">
        <v>125</v>
      </c>
      <c r="C148" s="53">
        <f t="shared" si="338"/>
        <v>109.96838356164382</v>
      </c>
      <c r="D148" s="53">
        <f t="shared" si="339"/>
        <v>120.19838356164381</v>
      </c>
      <c r="E148" s="46">
        <f>ABS(SUMIFS(SM!F:F,SM!$C:$C,"JUR",SM!$D:$D,$E143))</f>
        <v>37234.160000000011</v>
      </c>
      <c r="F148" s="46">
        <f>ABS(SUMIFS(SM!G:G,SM!$C:$C,"JUR",SM!$D:$D,$E143))</f>
        <v>37179.310000000034</v>
      </c>
      <c r="G148" s="46">
        <f>ABS(SUMIFS(SM!H:H,SM!$C:$C,"JUR",SM!$D:$D,$E143))</f>
        <v>40138.459999999992</v>
      </c>
      <c r="H148" s="64"/>
      <c r="I148" s="76">
        <f>G148</f>
        <v>40138.459999999992</v>
      </c>
      <c r="J148" s="4">
        <f t="shared" ref="J148:U148" si="343">I148</f>
        <v>40138.459999999992</v>
      </c>
      <c r="K148" s="4">
        <f t="shared" si="343"/>
        <v>40138.459999999992</v>
      </c>
      <c r="L148" s="219">
        <f>K148+365*10.23</f>
        <v>43872.409999999989</v>
      </c>
      <c r="M148" s="4">
        <f t="shared" si="343"/>
        <v>43872.409999999989</v>
      </c>
      <c r="N148" s="4">
        <f t="shared" si="343"/>
        <v>43872.409999999989</v>
      </c>
      <c r="O148" s="4">
        <f t="shared" si="343"/>
        <v>43872.409999999989</v>
      </c>
      <c r="P148" s="4">
        <f t="shared" si="343"/>
        <v>43872.409999999989</v>
      </c>
      <c r="Q148" s="4">
        <f t="shared" si="343"/>
        <v>43872.409999999989</v>
      </c>
      <c r="R148" s="4">
        <f t="shared" si="343"/>
        <v>43872.409999999989</v>
      </c>
      <c r="S148" s="4">
        <f t="shared" si="343"/>
        <v>43872.409999999989</v>
      </c>
      <c r="T148" s="4">
        <f t="shared" si="343"/>
        <v>43872.409999999989</v>
      </c>
      <c r="U148" s="4">
        <f t="shared" si="343"/>
        <v>43872.409999999989</v>
      </c>
    </row>
    <row r="149" spans="1:36" s="244" customFormat="1" ht="16.5" x14ac:dyDescent="0.35">
      <c r="A149" s="255" t="s">
        <v>524</v>
      </c>
      <c r="B149" s="256" t="s">
        <v>520</v>
      </c>
      <c r="C149" s="257">
        <f t="shared" si="338"/>
        <v>4.8509315068493155</v>
      </c>
      <c r="D149" s="257">
        <f t="shared" si="339"/>
        <v>12.563735159817352</v>
      </c>
      <c r="E149" s="258">
        <f>ABS(SUMIFS(SM!F:F,SM!$C:$C,"OMA",SM!$D:$D,$E143))</f>
        <v>6449</v>
      </c>
      <c r="F149" s="258">
        <f>ABS(SUMIFS(SM!G:G,SM!$C:$C,"OMA",SM!$D:$D,$E143))</f>
        <v>5537.7</v>
      </c>
      <c r="G149" s="258">
        <f>ABS(SUMIFS(SM!H:H,SM!$C:$C,"OMA",SM!$D:$D,$E143))</f>
        <v>1770.5900000000001</v>
      </c>
      <c r="H149" s="258"/>
      <c r="I149" s="275">
        <f>AVERAGE(E149:G149)</f>
        <v>4585.7633333333333</v>
      </c>
      <c r="J149" s="259">
        <f t="shared" ref="J149:U149" si="344">I149</f>
        <v>4585.7633333333333</v>
      </c>
      <c r="K149" s="259">
        <f t="shared" si="344"/>
        <v>4585.7633333333333</v>
      </c>
      <c r="L149" s="259">
        <f t="shared" si="344"/>
        <v>4585.7633333333333</v>
      </c>
      <c r="M149" s="259">
        <f t="shared" si="344"/>
        <v>4585.7633333333333</v>
      </c>
      <c r="N149" s="259">
        <f t="shared" si="344"/>
        <v>4585.7633333333333</v>
      </c>
      <c r="O149" s="259">
        <f t="shared" si="344"/>
        <v>4585.7633333333333</v>
      </c>
      <c r="P149" s="259">
        <f t="shared" si="344"/>
        <v>4585.7633333333333</v>
      </c>
      <c r="Q149" s="259">
        <f t="shared" si="344"/>
        <v>4585.7633333333333</v>
      </c>
      <c r="R149" s="259">
        <f t="shared" si="344"/>
        <v>4585.7633333333333</v>
      </c>
      <c r="S149" s="259">
        <f t="shared" si="344"/>
        <v>4585.7633333333333</v>
      </c>
      <c r="T149" s="259">
        <f t="shared" si="344"/>
        <v>4585.7633333333333</v>
      </c>
      <c r="U149" s="259">
        <f t="shared" si="344"/>
        <v>4585.7633333333333</v>
      </c>
      <c r="W149" s="318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</row>
    <row r="150" spans="1:36" ht="16.5" x14ac:dyDescent="0.35">
      <c r="A150" s="30" t="s">
        <v>130</v>
      </c>
      <c r="B150" s="31" t="s">
        <v>125</v>
      </c>
      <c r="C150" s="72">
        <f t="shared" si="338"/>
        <v>21.773260273972646</v>
      </c>
      <c r="D150" s="53">
        <f t="shared" si="339"/>
        <v>21.939707407580212</v>
      </c>
      <c r="E150" s="210">
        <f>E145-E146-E149</f>
        <v>11756.619999999988</v>
      </c>
      <c r="F150" s="167">
        <f>F145-F146-F149</f>
        <v>-928.35000000001583</v>
      </c>
      <c r="G150" s="210">
        <f>G145-G146-G149</f>
        <v>7947.2400000000162</v>
      </c>
      <c r="H150" s="64"/>
      <c r="I150" s="47">
        <f t="shared" ref="I150:U150" si="345">I151*I145</f>
        <v>7394.1356347636029</v>
      </c>
      <c r="J150" s="4">
        <f t="shared" si="345"/>
        <v>7412.4672643098893</v>
      </c>
      <c r="K150" s="4">
        <f t="shared" si="345"/>
        <v>7430.3715740057587</v>
      </c>
      <c r="L150" s="4">
        <f t="shared" si="345"/>
        <v>8277.5446639370766</v>
      </c>
      <c r="M150" s="4">
        <f t="shared" si="345"/>
        <v>7879.5933896307752</v>
      </c>
      <c r="N150" s="4">
        <f t="shared" si="345"/>
        <v>7896.172615753796</v>
      </c>
      <c r="O150" s="4">
        <f t="shared" si="345"/>
        <v>7912.4068497040025</v>
      </c>
      <c r="P150" s="4">
        <f t="shared" si="345"/>
        <v>7928.4725079334039</v>
      </c>
      <c r="Q150" s="4">
        <f t="shared" si="345"/>
        <v>7944.4009533667986</v>
      </c>
      <c r="R150" s="4">
        <f t="shared" si="345"/>
        <v>7960.2509914881921</v>
      </c>
      <c r="S150" s="4">
        <f t="shared" si="345"/>
        <v>7976.053985222381</v>
      </c>
      <c r="T150" s="4">
        <f t="shared" si="345"/>
        <v>7991.9432269997769</v>
      </c>
      <c r="U150" s="4">
        <f t="shared" si="345"/>
        <v>8007.9932037667768</v>
      </c>
    </row>
    <row r="151" spans="1:36" x14ac:dyDescent="0.35">
      <c r="A151" s="30" t="s">
        <v>130</v>
      </c>
      <c r="B151" s="31" t="s">
        <v>131</v>
      </c>
      <c r="C151" s="74">
        <f>G151</f>
        <v>0.11168912936546997</v>
      </c>
      <c r="D151" s="54">
        <f>U151</f>
        <v>0.1</v>
      </c>
      <c r="E151" s="212">
        <f>IFERROR(E150/E145,"")</f>
        <v>0.1555643475269271</v>
      </c>
      <c r="F151" s="168">
        <f>IFERROR(F150/F145,"")</f>
        <v>-1.4592338766720883E-2</v>
      </c>
      <c r="G151" s="228">
        <f>IFERROR(G150/G145,"")</f>
        <v>0.11168912936546997</v>
      </c>
      <c r="H151" s="49"/>
      <c r="I151" s="362">
        <v>0.1</v>
      </c>
      <c r="J151" s="364">
        <f t="shared" ref="J151:U151" si="346">I151</f>
        <v>0.1</v>
      </c>
      <c r="K151" s="364">
        <f t="shared" si="346"/>
        <v>0.1</v>
      </c>
      <c r="L151" s="364">
        <f t="shared" si="346"/>
        <v>0.1</v>
      </c>
      <c r="M151" s="364">
        <f t="shared" si="346"/>
        <v>0.1</v>
      </c>
      <c r="N151" s="364">
        <f t="shared" si="346"/>
        <v>0.1</v>
      </c>
      <c r="O151" s="364">
        <f t="shared" si="346"/>
        <v>0.1</v>
      </c>
      <c r="P151" s="364">
        <f t="shared" si="346"/>
        <v>0.1</v>
      </c>
      <c r="Q151" s="364">
        <f t="shared" si="346"/>
        <v>0.1</v>
      </c>
      <c r="R151" s="364">
        <f t="shared" si="346"/>
        <v>0.1</v>
      </c>
      <c r="S151" s="364">
        <f t="shared" si="346"/>
        <v>0.1</v>
      </c>
      <c r="T151" s="364">
        <f t="shared" si="346"/>
        <v>0.1</v>
      </c>
      <c r="U151" s="364">
        <f t="shared" si="346"/>
        <v>0.1</v>
      </c>
      <c r="W151" s="319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  <c r="AJ151" s="333"/>
    </row>
    <row r="152" spans="1:36" x14ac:dyDescent="0.35">
      <c r="A152" s="30" t="s">
        <v>128</v>
      </c>
      <c r="B152" s="31" t="s">
        <v>129</v>
      </c>
      <c r="C152" s="53">
        <f>G152</f>
        <v>159.01338807591887</v>
      </c>
      <c r="D152" s="53">
        <f>U152</f>
        <v>159.01338807591887</v>
      </c>
      <c r="E152" s="46">
        <f>IFERROR(E147/E153/365*1000,0)</f>
        <v>162.16778493721858</v>
      </c>
      <c r="F152" s="46">
        <f>IFERROR(F147/F153/365*1000,0)</f>
        <v>169.70797638817254</v>
      </c>
      <c r="G152" s="46">
        <f>IFERROR(G147/G153/365*1000,0)</f>
        <v>159.01338807591887</v>
      </c>
      <c r="H152" s="46"/>
      <c r="I152" s="76">
        <f>G152</f>
        <v>159.01338807591887</v>
      </c>
      <c r="J152" s="4">
        <f t="shared" ref="J152:U152" si="347">I152</f>
        <v>159.01338807591887</v>
      </c>
      <c r="K152" s="4">
        <f t="shared" si="347"/>
        <v>159.01338807591887</v>
      </c>
      <c r="L152" s="4">
        <f t="shared" si="347"/>
        <v>159.01338807591887</v>
      </c>
      <c r="M152" s="4">
        <f t="shared" si="347"/>
        <v>159.01338807591887</v>
      </c>
      <c r="N152" s="4">
        <f t="shared" si="347"/>
        <v>159.01338807591887</v>
      </c>
      <c r="O152" s="4">
        <f t="shared" si="347"/>
        <v>159.01338807591887</v>
      </c>
      <c r="P152" s="4">
        <f t="shared" si="347"/>
        <v>159.01338807591887</v>
      </c>
      <c r="Q152" s="4">
        <f t="shared" si="347"/>
        <v>159.01338807591887</v>
      </c>
      <c r="R152" s="4">
        <f t="shared" si="347"/>
        <v>159.01338807591887</v>
      </c>
      <c r="S152" s="4">
        <f t="shared" si="347"/>
        <v>159.01338807591887</v>
      </c>
      <c r="T152" s="4">
        <f t="shared" si="347"/>
        <v>159.01338807591887</v>
      </c>
      <c r="U152" s="4">
        <f t="shared" si="347"/>
        <v>159.01338807591887</v>
      </c>
    </row>
    <row r="153" spans="1:36" x14ac:dyDescent="0.35">
      <c r="A153" s="77" t="s">
        <v>136</v>
      </c>
      <c r="B153" s="78" t="s">
        <v>137</v>
      </c>
      <c r="C153" s="355">
        <f>G153</f>
        <v>366.9667745782927</v>
      </c>
      <c r="D153" s="355">
        <f>U153</f>
        <v>406.85409404567127</v>
      </c>
      <c r="E153" s="213">
        <f>VLOOKUP($A143,Elanikud!$A$1:$S$20,Elanikud!B$21,FALSE)</f>
        <v>340.15539274152326</v>
      </c>
      <c r="F153" s="213">
        <f>VLOOKUP($A143,Elanikud!$A$1:$S$20,Elanikud!C$21,FALSE)</f>
        <v>352.42392230362924</v>
      </c>
      <c r="G153" s="213">
        <f>VLOOKUP($A143,Elanikud!$A$1:$S$20,Elanikud!D$21,FALSE)</f>
        <v>366.9667745782927</v>
      </c>
      <c r="H153" s="213">
        <f>VLOOKUP($A143,Elanikud!$A$1:$S$20,Elanikud!E$21,FALSE)</f>
        <v>376</v>
      </c>
      <c r="I153" s="62">
        <f>VLOOKUP($A143,Elanikud!$A$1:$S$20,Elanikud!E$21,FALSE)</f>
        <v>376</v>
      </c>
      <c r="J153" s="241">
        <f>VLOOKUP($A143,Elanikud!$A$1:$S$20,Elanikud!F$21,FALSE)</f>
        <v>378.84260834136342</v>
      </c>
      <c r="K153" s="241">
        <f>VLOOKUP($A143,Elanikud!$A$1:$S$20,Elanikud!G$21,FALSE)</f>
        <v>381.61895399897821</v>
      </c>
      <c r="L153" s="241">
        <f>VLOOKUP($A143,Elanikud!$A$1:$S$20,Elanikud!H$21,FALSE)</f>
        <v>384.31809451130789</v>
      </c>
      <c r="M153" s="241">
        <f>VLOOKUP($A143,Elanikud!$A$1:$S$20,Elanikud!I$21,FALSE)</f>
        <v>386.9436773655313</v>
      </c>
      <c r="N153" s="241">
        <f>VLOOKUP($A143,Elanikud!$A$1:$S$20,Elanikud!J$21,FALSE)</f>
        <v>389.51454791207237</v>
      </c>
      <c r="O153" s="241">
        <f>VLOOKUP($A143,Elanikud!$A$1:$S$20,Elanikud!K$21,FALSE)</f>
        <v>392.03192197999061</v>
      </c>
      <c r="P153" s="241">
        <f>VLOOKUP($A143,Elanikud!$A$1:$S$20,Elanikud!L$21,FALSE)</f>
        <v>394.52315572312733</v>
      </c>
      <c r="Q153" s="241">
        <f>VLOOKUP($A143,Elanikud!$A$1:$S$20,Elanikud!M$21,FALSE)</f>
        <v>396.99311245772088</v>
      </c>
      <c r="R153" s="241">
        <f>VLOOKUP($A143,Elanikud!$A$1:$S$20,Elanikud!N$21,FALSE)</f>
        <v>399.45091090171837</v>
      </c>
      <c r="S153" s="241">
        <f>VLOOKUP($A143,Elanikud!$A$1:$S$20,Elanikud!O$21,FALSE)</f>
        <v>401.90141437135821</v>
      </c>
      <c r="T153" s="241">
        <f>VLOOKUP($A143,Elanikud!$A$1:$S$20,Elanikud!P$21,FALSE)</f>
        <v>404.36529196065374</v>
      </c>
      <c r="U153" s="241">
        <f>VLOOKUP($A143,Elanikud!$A$1:$S$20,Elanikud!Q$21,FALSE)</f>
        <v>406.85409404567127</v>
      </c>
    </row>
    <row r="154" spans="1:36" x14ac:dyDescent="0.35">
      <c r="A154" s="35" t="s">
        <v>43</v>
      </c>
      <c r="B154" s="33"/>
      <c r="C154" s="33"/>
      <c r="D154" s="33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W154" s="319"/>
      <c r="X154" s="333"/>
      <c r="Y154" s="333"/>
      <c r="Z154" s="333"/>
      <c r="AA154" s="333"/>
      <c r="AB154" s="333"/>
      <c r="AC154" s="333"/>
      <c r="AD154" s="333"/>
      <c r="AE154" s="333"/>
      <c r="AF154" s="333"/>
      <c r="AG154" s="333"/>
      <c r="AH154" s="333"/>
      <c r="AI154" s="333"/>
      <c r="AJ154" s="333"/>
    </row>
    <row r="155" spans="1:36" ht="16.5" x14ac:dyDescent="0.35">
      <c r="A155" s="30" t="s">
        <v>132</v>
      </c>
      <c r="B155" s="31" t="s">
        <v>125</v>
      </c>
      <c r="C155" s="53">
        <f t="shared" ref="C155:C160" si="348">G155/365</f>
        <v>166.8186191780822</v>
      </c>
      <c r="D155" s="53">
        <f t="shared" ref="D155:D160" si="349">U155/365</f>
        <v>220.01472338199798</v>
      </c>
      <c r="E155" s="71">
        <f>ABS(SUMIFS(SM!I:I,SM!$C:$C,"too",SM!$D:$D,$E143))</f>
        <v>55527.75</v>
      </c>
      <c r="F155" s="71">
        <f>ABS(SUMIFS(SM!J:J,SM!$C:$C,"too",SM!$D:$D,$E143))</f>
        <v>58849.521780000003</v>
      </c>
      <c r="G155" s="71">
        <f>ABS(SUMIFS(SM!K:K,SM!$C:$C,"too",SM!$D:$D,$E143))</f>
        <v>60888.796000000002</v>
      </c>
      <c r="H155" s="214">
        <f>SM!X6</f>
        <v>30246</v>
      </c>
      <c r="I155" s="47">
        <f>(I156+I159)/(100%-I161)</f>
        <v>78136.009839385413</v>
      </c>
      <c r="J155" s="4">
        <f t="shared" ref="J155" si="350">(J156+J159)/(100%-J161)</f>
        <v>78335.874815072559</v>
      </c>
      <c r="K155" s="4">
        <f t="shared" ref="K155" si="351">(K156+K159)/(100%-K161)</f>
        <v>78531.080833884189</v>
      </c>
      <c r="L155" s="4">
        <f t="shared" ref="L155" si="352">(L156+L159)/(100%-L161)</f>
        <v>78720.858526794982</v>
      </c>
      <c r="M155" s="4">
        <f t="shared" ref="M155" si="353">(M156+M159)/(100%-M161)</f>
        <v>78905.464350146722</v>
      </c>
      <c r="N155" s="4">
        <f t="shared" ref="N155" si="354">(N156+N159)/(100%-N161)</f>
        <v>79086.223328371896</v>
      </c>
      <c r="O155" s="4">
        <f t="shared" ref="O155" si="355">(O156+O159)/(100%-O161)</f>
        <v>79263.220946917761</v>
      </c>
      <c r="P155" s="4">
        <f t="shared" ref="P155" si="356">(P156+P159)/(100%-P161)</f>
        <v>79438.380628347586</v>
      </c>
      <c r="Q155" s="4">
        <f t="shared" ref="Q155" si="357">(Q156+Q159)/(100%-Q161)</f>
        <v>79612.04431445041</v>
      </c>
      <c r="R155" s="4">
        <f t="shared" ref="R155" si="358">(R156+R159)/(100%-R161)</f>
        <v>79784.85314608067</v>
      </c>
      <c r="S155" s="4">
        <f t="shared" ref="S155" si="359">(S156+S159)/(100%-S161)</f>
        <v>79957.149065027392</v>
      </c>
      <c r="T155" s="4">
        <f t="shared" ref="T155" si="360">(T156+T159)/(100%-T161)</f>
        <v>80130.385323893934</v>
      </c>
      <c r="U155" s="4">
        <f t="shared" ref="U155" si="361">(U156+U159)/(100%-U161)</f>
        <v>80305.37403442926</v>
      </c>
      <c r="W155" s="320"/>
      <c r="X155" s="334"/>
      <c r="Y155" s="334"/>
      <c r="Z155" s="335"/>
      <c r="AA155" s="335"/>
      <c r="AB155" s="335"/>
      <c r="AC155" s="335"/>
      <c r="AD155" s="335"/>
      <c r="AE155" s="335"/>
      <c r="AF155" s="335"/>
      <c r="AG155" s="335"/>
      <c r="AH155" s="335"/>
      <c r="AI155" s="335"/>
      <c r="AJ155" s="335"/>
    </row>
    <row r="156" spans="1:36" ht="16.5" x14ac:dyDescent="0.35">
      <c r="A156" s="30" t="s">
        <v>133</v>
      </c>
      <c r="B156" s="31" t="s">
        <v>125</v>
      </c>
      <c r="C156" s="53">
        <f t="shared" si="348"/>
        <v>159.24838356164372</v>
      </c>
      <c r="D156" s="53">
        <f t="shared" si="349"/>
        <v>165.01104253649848</v>
      </c>
      <c r="E156" s="45">
        <f>E157+E158</f>
        <v>54048.999999999978</v>
      </c>
      <c r="F156" s="45">
        <f>F157+F158</f>
        <v>55322.069999999992</v>
      </c>
      <c r="G156" s="45">
        <f>G157+G158</f>
        <v>58125.65999999996</v>
      </c>
      <c r="H156" s="45"/>
      <c r="I156" s="48">
        <f t="shared" ref="I156" si="362">I157+I158</f>
        <v>58602.007379539064</v>
      </c>
      <c r="J156" s="12">
        <f t="shared" ref="J156" si="363">J157+J158</f>
        <v>58751.906111304415</v>
      </c>
      <c r="K156" s="12">
        <f t="shared" ref="K156" si="364">K157+K158</f>
        <v>58898.310625413142</v>
      </c>
      <c r="L156" s="12">
        <f t="shared" ref="L156" si="365">L157+L158</f>
        <v>59040.643895096233</v>
      </c>
      <c r="M156" s="12">
        <f t="shared" ref="M156" si="366">M157+M158</f>
        <v>59179.098262610045</v>
      </c>
      <c r="N156" s="12">
        <f t="shared" ref="N156" si="367">N157+N158</f>
        <v>59314.667496278926</v>
      </c>
      <c r="O156" s="12">
        <f t="shared" ref="O156" si="368">O157+O158</f>
        <v>59447.415710188317</v>
      </c>
      <c r="P156" s="12">
        <f t="shared" ref="P156" si="369">P157+P158</f>
        <v>59578.785471260693</v>
      </c>
      <c r="Q156" s="12">
        <f t="shared" ref="Q156" si="370">Q157+Q158</f>
        <v>59709.033235837807</v>
      </c>
      <c r="R156" s="12">
        <f t="shared" ref="R156" si="371">R157+R158</f>
        <v>59838.639859560506</v>
      </c>
      <c r="S156" s="12">
        <f t="shared" ref="S156" si="372">S157+S158</f>
        <v>59967.861798770544</v>
      </c>
      <c r="T156" s="12">
        <f t="shared" ref="T156" si="373">T157+T158</f>
        <v>60097.788992920454</v>
      </c>
      <c r="U156" s="12">
        <f t="shared" ref="U156" si="374">U157+U158</f>
        <v>60229.030525821945</v>
      </c>
    </row>
    <row r="157" spans="1:36" ht="16.5" x14ac:dyDescent="0.35">
      <c r="A157" s="30" t="s">
        <v>134</v>
      </c>
      <c r="B157" s="31" t="s">
        <v>125</v>
      </c>
      <c r="C157" s="53">
        <f t="shared" si="348"/>
        <v>53.016958904109586</v>
      </c>
      <c r="D157" s="53">
        <f t="shared" si="349"/>
        <v>58.779617878964316</v>
      </c>
      <c r="E157" s="45">
        <f>ABS(SUMIFS(SM!I:I,SM!$C:$C,"era",SM!$D:$D,$E143))</f>
        <v>18359.099999999991</v>
      </c>
      <c r="F157" s="45">
        <f>ABS(SUMIFS(SM!J:J,SM!$C:$C,"era",SM!$D:$D,$E143))</f>
        <v>19443.609999999997</v>
      </c>
      <c r="G157" s="45">
        <f>ABS(SUMIFS(SM!K:K,SM!$C:$C,"era",SM!$D:$D,$E143))</f>
        <v>19351.189999999999</v>
      </c>
      <c r="H157" s="71"/>
      <c r="I157" s="47">
        <f t="shared" ref="I157:U157" si="375">I163*I162*365/1000</f>
        <v>19827.537379539102</v>
      </c>
      <c r="J157" s="4">
        <f t="shared" si="375"/>
        <v>19977.436111304454</v>
      </c>
      <c r="K157" s="4">
        <f t="shared" si="375"/>
        <v>20123.840625413177</v>
      </c>
      <c r="L157" s="4">
        <f t="shared" si="375"/>
        <v>20266.173895096272</v>
      </c>
      <c r="M157" s="4">
        <f t="shared" si="375"/>
        <v>20404.62826261008</v>
      </c>
      <c r="N157" s="4">
        <f t="shared" si="375"/>
        <v>20540.197496278961</v>
      </c>
      <c r="O157" s="4">
        <f t="shared" si="375"/>
        <v>20672.945710188353</v>
      </c>
      <c r="P157" s="4">
        <f t="shared" si="375"/>
        <v>20804.315471260725</v>
      </c>
      <c r="Q157" s="4">
        <f t="shared" si="375"/>
        <v>20934.563235837846</v>
      </c>
      <c r="R157" s="4">
        <f t="shared" si="375"/>
        <v>21064.169859560541</v>
      </c>
      <c r="S157" s="4">
        <f t="shared" si="375"/>
        <v>21193.391798770579</v>
      </c>
      <c r="T157" s="4">
        <f t="shared" si="375"/>
        <v>21323.318992920489</v>
      </c>
      <c r="U157" s="4">
        <f t="shared" si="375"/>
        <v>21454.560525821977</v>
      </c>
    </row>
    <row r="158" spans="1:36" ht="16.5" x14ac:dyDescent="0.35">
      <c r="A158" s="30" t="s">
        <v>498</v>
      </c>
      <c r="B158" s="31" t="s">
        <v>125</v>
      </c>
      <c r="C158" s="53">
        <f t="shared" si="348"/>
        <v>106.23142465753415</v>
      </c>
      <c r="D158" s="53">
        <f t="shared" si="349"/>
        <v>106.23142465753415</v>
      </c>
      <c r="E158" s="45">
        <f>ABS(SUMIFS(SM!I:I,SM!$C:$C,"jur",SM!$D:$D,$E143))</f>
        <v>35689.899999999987</v>
      </c>
      <c r="F158" s="45">
        <f>ABS(SUMIFS(SM!J:J,SM!$C:$C,"jur",SM!$D:$D,$E143))</f>
        <v>35878.459999999992</v>
      </c>
      <c r="G158" s="45">
        <f>ABS(SUMIFS(SM!K:K,SM!$C:$C,"jur",SM!$D:$D,$E143))</f>
        <v>38774.469999999965</v>
      </c>
      <c r="H158" s="71"/>
      <c r="I158" s="76">
        <f>G158</f>
        <v>38774.469999999965</v>
      </c>
      <c r="J158" s="4">
        <f t="shared" ref="J158:U158" si="376">I158</f>
        <v>38774.469999999965</v>
      </c>
      <c r="K158" s="4">
        <f t="shared" si="376"/>
        <v>38774.469999999965</v>
      </c>
      <c r="L158" s="4">
        <f t="shared" si="376"/>
        <v>38774.469999999965</v>
      </c>
      <c r="M158" s="4">
        <f t="shared" si="376"/>
        <v>38774.469999999965</v>
      </c>
      <c r="N158" s="4">
        <f t="shared" si="376"/>
        <v>38774.469999999965</v>
      </c>
      <c r="O158" s="4">
        <f t="shared" si="376"/>
        <v>38774.469999999965</v>
      </c>
      <c r="P158" s="4">
        <f t="shared" si="376"/>
        <v>38774.469999999965</v>
      </c>
      <c r="Q158" s="4">
        <f t="shared" si="376"/>
        <v>38774.469999999965</v>
      </c>
      <c r="R158" s="4">
        <f t="shared" si="376"/>
        <v>38774.469999999965</v>
      </c>
      <c r="S158" s="4">
        <f t="shared" si="376"/>
        <v>38774.469999999965</v>
      </c>
      <c r="T158" s="4">
        <f t="shared" si="376"/>
        <v>38774.469999999965</v>
      </c>
      <c r="U158" s="4">
        <f t="shared" si="376"/>
        <v>38774.469999999965</v>
      </c>
    </row>
    <row r="159" spans="1:36" s="70" customFormat="1" x14ac:dyDescent="0.35">
      <c r="A159" s="260" t="s">
        <v>525</v>
      </c>
      <c r="B159" s="256" t="s">
        <v>521</v>
      </c>
      <c r="C159" s="269">
        <f t="shared" si="348"/>
        <v>0</v>
      </c>
      <c r="D159" s="269">
        <f t="shared" si="349"/>
        <v>0</v>
      </c>
      <c r="E159" s="270">
        <f>ABS(SUMIFS(SM!I:I,SM!$C:$C,"OMA",SM!$D:$D,$E143))</f>
        <v>0</v>
      </c>
      <c r="F159" s="270">
        <f>ABS(SUMIFS(SM!J:J,SM!$C:$C,"OMA",SM!$D:$D,$E143))</f>
        <v>0</v>
      </c>
      <c r="G159" s="270">
        <f>ABS(SUMIFS(SM!K:K,SM!$C:$C,"OMA",SM!$D:$D,$E143))</f>
        <v>0</v>
      </c>
      <c r="H159" s="270"/>
      <c r="I159" s="276">
        <f>IFERROR(AVERAGE(E159:G159),0)</f>
        <v>0</v>
      </c>
      <c r="J159" s="264">
        <f t="shared" ref="J159:U159" si="377">I159</f>
        <v>0</v>
      </c>
      <c r="K159" s="264">
        <f t="shared" si="377"/>
        <v>0</v>
      </c>
      <c r="L159" s="264">
        <f t="shared" si="377"/>
        <v>0</v>
      </c>
      <c r="M159" s="264">
        <f t="shared" si="377"/>
        <v>0</v>
      </c>
      <c r="N159" s="264">
        <f t="shared" si="377"/>
        <v>0</v>
      </c>
      <c r="O159" s="264">
        <f t="shared" si="377"/>
        <v>0</v>
      </c>
      <c r="P159" s="264">
        <f t="shared" si="377"/>
        <v>0</v>
      </c>
      <c r="Q159" s="264">
        <f t="shared" si="377"/>
        <v>0</v>
      </c>
      <c r="R159" s="264">
        <f t="shared" si="377"/>
        <v>0</v>
      </c>
      <c r="S159" s="264">
        <f t="shared" si="377"/>
        <v>0</v>
      </c>
      <c r="T159" s="264">
        <f t="shared" si="377"/>
        <v>0</v>
      </c>
      <c r="U159" s="264">
        <f t="shared" si="377"/>
        <v>0</v>
      </c>
      <c r="W159" s="318"/>
      <c r="X159" s="332"/>
      <c r="Y159" s="332"/>
      <c r="Z159" s="332"/>
      <c r="AA159" s="332"/>
      <c r="AB159" s="332"/>
      <c r="AC159" s="332"/>
      <c r="AD159" s="332"/>
      <c r="AE159" s="332"/>
      <c r="AF159" s="332"/>
      <c r="AG159" s="332"/>
      <c r="AH159" s="332"/>
      <c r="AI159" s="332"/>
      <c r="AJ159" s="332"/>
    </row>
    <row r="160" spans="1:36" ht="16.5" x14ac:dyDescent="0.35">
      <c r="A160" s="30" t="s">
        <v>135</v>
      </c>
      <c r="B160" s="31" t="s">
        <v>125</v>
      </c>
      <c r="C160" s="226">
        <f t="shared" si="348"/>
        <v>7.5702356164383557</v>
      </c>
      <c r="D160" s="226">
        <f t="shared" si="349"/>
        <v>55.003680845499495</v>
      </c>
      <c r="E160" s="71">
        <f>ABS(SUMIFS(SM!I:I,SM!$C:$C,"KAD",SM!$D:$D,$E143))</f>
        <v>1478.7499999999995</v>
      </c>
      <c r="F160" s="71">
        <f>ABS(SUMIFS(SM!J:J,SM!$C:$C,"KAD",SM!$D:$D,$E143))</f>
        <v>3527.4517800000003</v>
      </c>
      <c r="G160" s="71">
        <f>ABS(SUMIFS(SM!K:K,SM!$C:$C,"KAD",SM!$D:$D,$E143))</f>
        <v>2763.136</v>
      </c>
      <c r="H160" s="45"/>
      <c r="I160" s="47">
        <f>I161*I155</f>
        <v>19534.002459846353</v>
      </c>
      <c r="J160" s="4">
        <f t="shared" ref="J160" si="378">J161*J155</f>
        <v>19583.96870376814</v>
      </c>
      <c r="K160" s="4">
        <f t="shared" ref="K160" si="379">K161*K155</f>
        <v>19632.770208471047</v>
      </c>
      <c r="L160" s="4">
        <f t="shared" ref="L160" si="380">L161*L155</f>
        <v>19680.214631698746</v>
      </c>
      <c r="M160" s="4">
        <f t="shared" ref="M160" si="381">M161*M155</f>
        <v>19726.36608753668</v>
      </c>
      <c r="N160" s="4">
        <f t="shared" ref="N160" si="382">N161*N155</f>
        <v>19771.555832092974</v>
      </c>
      <c r="O160" s="4">
        <f t="shared" ref="O160" si="383">O161*O155</f>
        <v>19815.80523672944</v>
      </c>
      <c r="P160" s="4">
        <f t="shared" ref="P160" si="384">P161*P155</f>
        <v>19859.595157086897</v>
      </c>
      <c r="Q160" s="4">
        <f t="shared" ref="Q160" si="385">Q161*Q155</f>
        <v>19903.011078612602</v>
      </c>
      <c r="R160" s="4">
        <f t="shared" ref="R160" si="386">R161*R155</f>
        <v>19946.213286520167</v>
      </c>
      <c r="S160" s="4">
        <f t="shared" ref="S160" si="387">S161*S155</f>
        <v>19989.287266256848</v>
      </c>
      <c r="T160" s="4">
        <f t="shared" ref="T160" si="388">T161*T155</f>
        <v>20032.596330973483</v>
      </c>
      <c r="U160" s="4">
        <f t="shared" ref="U160" si="389">U161*U155</f>
        <v>20076.343508607315</v>
      </c>
    </row>
    <row r="161" spans="1:36" x14ac:dyDescent="0.35">
      <c r="A161" s="30" t="s">
        <v>135</v>
      </c>
      <c r="B161" s="31" t="s">
        <v>131</v>
      </c>
      <c r="C161" s="73">
        <f>G161</f>
        <v>4.5380040032323841E-2</v>
      </c>
      <c r="D161" s="54">
        <f>U161</f>
        <v>0.25</v>
      </c>
      <c r="E161" s="50">
        <f>IFERROR(E160/E155,"")</f>
        <v>2.6630828729779246E-2</v>
      </c>
      <c r="F161" s="50">
        <f>IFERROR(F160/F155,"")</f>
        <v>5.9940194470684792E-2</v>
      </c>
      <c r="G161" s="50">
        <f>IFERROR(G160/G155,"")</f>
        <v>4.5380040032323841E-2</v>
      </c>
      <c r="H161" s="50">
        <f>IFERROR(H160/H155,"")</f>
        <v>0</v>
      </c>
      <c r="I161" s="227">
        <f>$AK$47</f>
        <v>0.25</v>
      </c>
      <c r="J161" s="38">
        <f t="shared" ref="J161:U161" si="390">I161</f>
        <v>0.25</v>
      </c>
      <c r="K161" s="38">
        <f t="shared" si="390"/>
        <v>0.25</v>
      </c>
      <c r="L161" s="38">
        <f t="shared" si="390"/>
        <v>0.25</v>
      </c>
      <c r="M161" s="38">
        <f t="shared" si="390"/>
        <v>0.25</v>
      </c>
      <c r="N161" s="38">
        <f t="shared" si="390"/>
        <v>0.25</v>
      </c>
      <c r="O161" s="38">
        <f t="shared" si="390"/>
        <v>0.25</v>
      </c>
      <c r="P161" s="38">
        <f t="shared" si="390"/>
        <v>0.25</v>
      </c>
      <c r="Q161" s="38">
        <f t="shared" si="390"/>
        <v>0.25</v>
      </c>
      <c r="R161" s="38">
        <f t="shared" si="390"/>
        <v>0.25</v>
      </c>
      <c r="S161" s="38">
        <f t="shared" si="390"/>
        <v>0.25</v>
      </c>
      <c r="T161" s="38">
        <f t="shared" si="390"/>
        <v>0.25</v>
      </c>
      <c r="U161" s="38">
        <f t="shared" si="390"/>
        <v>0.25</v>
      </c>
    </row>
    <row r="162" spans="1:36" s="70" customFormat="1" x14ac:dyDescent="0.35">
      <c r="A162" s="181" t="s">
        <v>128</v>
      </c>
      <c r="B162" s="182" t="s">
        <v>129</v>
      </c>
      <c r="C162" s="211">
        <f>G162</f>
        <v>150.06082933125788</v>
      </c>
      <c r="D162" s="211">
        <f>U162</f>
        <v>150.06082933125788</v>
      </c>
      <c r="E162" s="71">
        <f>IFERROR(E157/E163/365*1000,0)</f>
        <v>153.58911459089953</v>
      </c>
      <c r="F162" s="71">
        <f>IFERROR(F157/F163/365*1000,0)</f>
        <v>156.99937769582988</v>
      </c>
      <c r="G162" s="71">
        <f>IFERROR(G157/G163/365*1000,0)</f>
        <v>150.06082933125788</v>
      </c>
      <c r="H162" s="71"/>
      <c r="I162" s="76">
        <f>G162</f>
        <v>150.06082933125788</v>
      </c>
      <c r="J162" s="4">
        <f>IF(I162=0,0,IF(I162&gt;Veehind!$B$16,I162,I162+(Veehind!$B$16-$I162)/12))</f>
        <v>150.06082933125788</v>
      </c>
      <c r="K162" s="4">
        <f>IF(J162=0,0,IF(J162&gt;Veehind!$B$16,J162,J162+(Veehind!$B$16-$I162)/12))</f>
        <v>150.06082933125788</v>
      </c>
      <c r="L162" s="4">
        <f>IF(K162=0,0,IF(K162&gt;Veehind!$B$16,K162,K162+(Veehind!$B$16-$I162)/12))</f>
        <v>150.06082933125788</v>
      </c>
      <c r="M162" s="4">
        <f>IF(L162=0,0,IF(L162&gt;Veehind!$B$16,L162,L162+(Veehind!$B$16-$I162)/12))</f>
        <v>150.06082933125788</v>
      </c>
      <c r="N162" s="4">
        <f>IF(M162=0,0,IF(M162&gt;Veehind!$B$16,M162,M162+(Veehind!$B$16-$I162)/12))</f>
        <v>150.06082933125788</v>
      </c>
      <c r="O162" s="4">
        <f>IF(N162=0,0,IF(N162&gt;Veehind!$B$16,N162,N162+(Veehind!$B$16-$I162)/12))</f>
        <v>150.06082933125788</v>
      </c>
      <c r="P162" s="4">
        <f>IF(O162=0,0,IF(O162&gt;Veehind!$B$16,O162,O162+(Veehind!$B$16-$I162)/12))</f>
        <v>150.06082933125788</v>
      </c>
      <c r="Q162" s="4">
        <f>IF(P162=0,0,IF(P162&gt;Veehind!$B$16,P162,P162+(Veehind!$B$16-$I162)/12))</f>
        <v>150.06082933125788</v>
      </c>
      <c r="R162" s="4">
        <f>IF(Q162=0,0,IF(Q162&gt;Veehind!$B$16,Q162,Q162+(Veehind!$B$16-$I162)/12))</f>
        <v>150.06082933125788</v>
      </c>
      <c r="S162" s="4">
        <f>IF(R162=0,0,IF(R162&gt;Veehind!$B$16,R162,R162+(Veehind!$B$16-$I162)/12))</f>
        <v>150.06082933125788</v>
      </c>
      <c r="T162" s="4">
        <f>IF(S162=0,0,IF(S162&gt;Veehind!$B$16,S162,S162+(Veehind!$B$16-$I162)/12))</f>
        <v>150.06082933125788</v>
      </c>
      <c r="U162" s="4">
        <f>IF(T162=0,0,IF(T162&gt;Veehind!$B$16,T162,T162+(Veehind!$B$16-$I162)/12))</f>
        <v>150.06082933125788</v>
      </c>
      <c r="W162" s="321"/>
      <c r="X162" s="336"/>
      <c r="Y162" s="336"/>
      <c r="Z162" s="336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6"/>
    </row>
    <row r="163" spans="1:36" s="242" customFormat="1" x14ac:dyDescent="0.35">
      <c r="A163" s="77" t="s">
        <v>136</v>
      </c>
      <c r="B163" s="78" t="s">
        <v>137</v>
      </c>
      <c r="C163" s="355">
        <f>G163</f>
        <v>353.30311807803713</v>
      </c>
      <c r="D163" s="355">
        <f>U163</f>
        <v>391.70527139503452</v>
      </c>
      <c r="E163" s="215">
        <f>VLOOKUP($A143,Elanikud!$A$22:$S$41,Elanikud!B$21,FALSE)</f>
        <v>327.49003237348785</v>
      </c>
      <c r="F163" s="215">
        <f>VLOOKUP($A143,Elanikud!$A$22:$S$41,Elanikud!C$21,FALSE)</f>
        <v>339.30175498381328</v>
      </c>
      <c r="G163" s="215">
        <f>VLOOKUP($A143,Elanikud!$A$22:$S$41,Elanikud!D$21,FALSE)</f>
        <v>353.30311807803713</v>
      </c>
      <c r="H163" s="215">
        <f>VLOOKUP($A143,Elanikud!$A$22:$S$41,Elanikud!E$21,FALSE)</f>
        <v>362</v>
      </c>
      <c r="I163" s="62">
        <f>VLOOKUP($A143,Elanikud!$A$22:$S$41,Elanikud!E$21,FALSE)</f>
        <v>362</v>
      </c>
      <c r="J163" s="241">
        <f>VLOOKUP($A143,Elanikud!$A$22:$S$41,Elanikud!F$21,FALSE)</f>
        <v>364.736766541419</v>
      </c>
      <c r="K163" s="241">
        <f>VLOOKUP($A143,Elanikud!$A$22:$S$41,Elanikud!G$21,FALSE)</f>
        <v>367.40973762667579</v>
      </c>
      <c r="L163" s="241">
        <f>VLOOKUP($A143,Elanikud!$A$22:$S$41,Elanikud!H$21,FALSE)</f>
        <v>370.00837822631235</v>
      </c>
      <c r="M163" s="241">
        <f>VLOOKUP($A143,Elanikud!$A$22:$S$41,Elanikud!I$21,FALSE)</f>
        <v>372.53620001681469</v>
      </c>
      <c r="N163" s="241">
        <f>VLOOKUP($A143,Elanikud!$A$22:$S$41,Elanikud!J$21,FALSE)</f>
        <v>375.01134666002707</v>
      </c>
      <c r="O163" s="241">
        <f>VLOOKUP($A143,Elanikud!$A$22:$S$41,Elanikud!K$21,FALSE)</f>
        <v>377.43498871477817</v>
      </c>
      <c r="P163" s="241">
        <f>VLOOKUP($A143,Elanikud!$A$22:$S$41,Elanikud!L$21,FALSE)</f>
        <v>379.83346375471297</v>
      </c>
      <c r="Q163" s="241">
        <f>VLOOKUP($A143,Elanikud!$A$22:$S$41,Elanikud!M$21,FALSE)</f>
        <v>382.21145401514616</v>
      </c>
      <c r="R163" s="241">
        <f>VLOOKUP($A143,Elanikud!$A$22:$S$41,Elanikud!N$21,FALSE)</f>
        <v>384.57773868729265</v>
      </c>
      <c r="S163" s="241">
        <f>VLOOKUP($A143,Elanikud!$A$22:$S$41,Elanikud!O$21,FALSE)</f>
        <v>386.9370000064672</v>
      </c>
      <c r="T163" s="241">
        <f>VLOOKUP($A143,Elanikud!$A$22:$S$41,Elanikud!P$21,FALSE)</f>
        <v>389.30913747275702</v>
      </c>
      <c r="U163" s="241">
        <f>VLOOKUP($A143,Elanikud!$A$22:$S$41,Elanikud!Q$21,FALSE)</f>
        <v>391.70527139503452</v>
      </c>
      <c r="V163" s="7"/>
      <c r="W163" s="318"/>
      <c r="X163" s="332"/>
      <c r="Y163" s="332"/>
      <c r="Z163" s="332"/>
      <c r="AA163" s="332"/>
      <c r="AB163" s="332"/>
      <c r="AC163" s="332"/>
      <c r="AD163" s="332"/>
      <c r="AE163" s="332"/>
      <c r="AF163" s="332"/>
      <c r="AG163" s="332"/>
      <c r="AH163" s="332"/>
      <c r="AI163" s="332"/>
      <c r="AJ163" s="332"/>
    </row>
    <row r="164" spans="1:36" x14ac:dyDescent="0.35">
      <c r="A164" s="36" t="s">
        <v>433</v>
      </c>
      <c r="B164" s="36"/>
      <c r="C164" s="36"/>
      <c r="D164" s="36"/>
      <c r="E164" s="41" t="s">
        <v>433</v>
      </c>
      <c r="F164" s="41"/>
      <c r="G164" s="41"/>
      <c r="H164" s="41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36" x14ac:dyDescent="0.35">
      <c r="A165" s="34" t="s">
        <v>21</v>
      </c>
      <c r="B165" s="32"/>
      <c r="C165" s="32"/>
      <c r="D165" s="32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</row>
    <row r="166" spans="1:36" ht="16.5" x14ac:dyDescent="0.35">
      <c r="A166" s="30" t="s">
        <v>124</v>
      </c>
      <c r="B166" s="31" t="s">
        <v>125</v>
      </c>
      <c r="C166" s="226">
        <f t="shared" ref="C166:C171" si="391">G166/365</f>
        <v>10.594520547945205</v>
      </c>
      <c r="D166" s="225">
        <f t="shared" ref="D166:D171" si="392">U166/365</f>
        <v>11.322107859807717</v>
      </c>
      <c r="E166" s="46">
        <f>SUMIFS(SM!F:F,SM!$C:$C,"TOO",SM!$D:$D,$E164)</f>
        <v>4461</v>
      </c>
      <c r="F166" s="46">
        <f>SUMIFS(SM!G:G,SM!$C:$C,"TOO",SM!$D:$D,$E164)</f>
        <v>4363</v>
      </c>
      <c r="G166" s="46">
        <f>SUMIFS(SM!H:H,SM!$C:$C,"TOO",SM!$D:$D,$E164)</f>
        <v>3867</v>
      </c>
      <c r="H166" s="46">
        <f>SUMIFS(SM!$R:$R,SM!M:M,Q!E164)</f>
        <v>2259</v>
      </c>
      <c r="I166" s="76">
        <f t="shared" ref="I166:U166" si="393">(I167+I170)/(100%-I172)</f>
        <v>3855.6037259259247</v>
      </c>
      <c r="J166" s="4">
        <f t="shared" si="393"/>
        <v>3881.1207560362336</v>
      </c>
      <c r="K166" s="4">
        <f t="shared" si="393"/>
        <v>3906.0429708595398</v>
      </c>
      <c r="L166" s="4">
        <f t="shared" si="393"/>
        <v>3930.2721440181731</v>
      </c>
      <c r="M166" s="4">
        <f t="shared" si="393"/>
        <v>3953.8410176380239</v>
      </c>
      <c r="N166" s="4">
        <f t="shared" si="393"/>
        <v>3976.9187593695242</v>
      </c>
      <c r="O166" s="4">
        <f t="shared" si="393"/>
        <v>3999.5162832546375</v>
      </c>
      <c r="P166" s="4">
        <f t="shared" si="393"/>
        <v>4021.8791552375383</v>
      </c>
      <c r="Q166" s="4">
        <f t="shared" si="393"/>
        <v>4044.0510314860799</v>
      </c>
      <c r="R166" s="4">
        <f t="shared" si="393"/>
        <v>4066.1137673149892</v>
      </c>
      <c r="S166" s="4">
        <f t="shared" si="393"/>
        <v>4088.1110188921175</v>
      </c>
      <c r="T166" s="4">
        <f t="shared" si="393"/>
        <v>4110.2283249308439</v>
      </c>
      <c r="U166" s="4">
        <f t="shared" si="393"/>
        <v>4132.569368829817</v>
      </c>
    </row>
    <row r="167" spans="1:36" ht="16.5" x14ac:dyDescent="0.35">
      <c r="A167" s="30" t="s">
        <v>126</v>
      </c>
      <c r="B167" s="31" t="s">
        <v>125</v>
      </c>
      <c r="C167" s="226">
        <f t="shared" si="391"/>
        <v>8.7466849863013678</v>
      </c>
      <c r="D167" s="226">
        <f t="shared" si="392"/>
        <v>9.4241436491694124</v>
      </c>
      <c r="E167" s="46">
        <f>E168+E169</f>
        <v>3435.4999799999987</v>
      </c>
      <c r="F167" s="64">
        <f>F168+F169</f>
        <v>3600.8700200000026</v>
      </c>
      <c r="G167" s="64">
        <f>G168+G169</f>
        <v>3192.540019999999</v>
      </c>
      <c r="H167" s="46"/>
      <c r="I167" s="48">
        <f t="shared" ref="I167:U167" si="394">I168+I169</f>
        <v>3190.5433533333321</v>
      </c>
      <c r="J167" s="12">
        <f t="shared" si="394"/>
        <v>3213.5086804326102</v>
      </c>
      <c r="K167" s="12">
        <f t="shared" si="394"/>
        <v>3235.9386737735858</v>
      </c>
      <c r="L167" s="12">
        <f t="shared" si="394"/>
        <v>3257.7449296163559</v>
      </c>
      <c r="M167" s="12">
        <f t="shared" si="394"/>
        <v>3278.9569158742215</v>
      </c>
      <c r="N167" s="12">
        <f t="shared" si="394"/>
        <v>3299.7268834325719</v>
      </c>
      <c r="O167" s="12">
        <f t="shared" si="394"/>
        <v>3320.0646549291737</v>
      </c>
      <c r="P167" s="12">
        <f t="shared" si="394"/>
        <v>3340.1912397137844</v>
      </c>
      <c r="Q167" s="12">
        <f t="shared" si="394"/>
        <v>3360.145928337472</v>
      </c>
      <c r="R167" s="12">
        <f t="shared" si="394"/>
        <v>3380.0023905834905</v>
      </c>
      <c r="S167" s="12">
        <f t="shared" si="394"/>
        <v>3399.7999170029057</v>
      </c>
      <c r="T167" s="12">
        <f t="shared" si="394"/>
        <v>3419.7054924377594</v>
      </c>
      <c r="U167" s="12">
        <f t="shared" si="394"/>
        <v>3439.8124319468352</v>
      </c>
    </row>
    <row r="168" spans="1:36" ht="16.5" x14ac:dyDescent="0.35">
      <c r="A168" s="30" t="s">
        <v>127</v>
      </c>
      <c r="B168" s="31" t="s">
        <v>125</v>
      </c>
      <c r="C168" s="226">
        <f t="shared" si="391"/>
        <v>8.3224384109589025</v>
      </c>
      <c r="D168" s="226">
        <f t="shared" si="392"/>
        <v>9.0053673934616487</v>
      </c>
      <c r="E168" s="46">
        <f>ABS(SUMIFS(SM!F:F,SM!$C:$C,"ERA",SM!$D:$D,$E164))</f>
        <v>3254.8599799999988</v>
      </c>
      <c r="F168" s="46">
        <f>ABS(SUMIFS(SM!G:G,SM!$C:$C,"ERA",SM!$D:$D,$E164))</f>
        <v>3477.8000200000024</v>
      </c>
      <c r="G168" s="46">
        <f>ABS(SUMIFS(SM!H:H,SM!$C:$C,"ERA",SM!$D:$D,$E164))</f>
        <v>3037.6900199999991</v>
      </c>
      <c r="H168" s="64"/>
      <c r="I168" s="47">
        <f t="shared" ref="I168:U168" si="395">I173*I174/1000*365</f>
        <v>3037.6900199999986</v>
      </c>
      <c r="J168" s="4">
        <f t="shared" si="395"/>
        <v>3060.6553470992767</v>
      </c>
      <c r="K168" s="4">
        <f t="shared" si="395"/>
        <v>3083.0853404402524</v>
      </c>
      <c r="L168" s="4">
        <f t="shared" si="395"/>
        <v>3104.8915962830224</v>
      </c>
      <c r="M168" s="4">
        <f t="shared" si="395"/>
        <v>3126.1035825408881</v>
      </c>
      <c r="N168" s="4">
        <f t="shared" si="395"/>
        <v>3146.8735500992384</v>
      </c>
      <c r="O168" s="4">
        <f t="shared" si="395"/>
        <v>3167.2113215958402</v>
      </c>
      <c r="P168" s="4">
        <f t="shared" si="395"/>
        <v>3187.3379063804509</v>
      </c>
      <c r="Q168" s="4">
        <f t="shared" si="395"/>
        <v>3207.2925950041385</v>
      </c>
      <c r="R168" s="4">
        <f t="shared" si="395"/>
        <v>3227.1490572501571</v>
      </c>
      <c r="S168" s="4">
        <f t="shared" si="395"/>
        <v>3246.9465836695722</v>
      </c>
      <c r="T168" s="4">
        <f t="shared" si="395"/>
        <v>3266.8521591044259</v>
      </c>
      <c r="U168" s="4">
        <f t="shared" si="395"/>
        <v>3286.9590986135017</v>
      </c>
    </row>
    <row r="169" spans="1:36" ht="16.5" x14ac:dyDescent="0.35">
      <c r="A169" s="30" t="s">
        <v>497</v>
      </c>
      <c r="B169" s="31" t="s">
        <v>125</v>
      </c>
      <c r="C169" s="226">
        <f t="shared" si="391"/>
        <v>0.42424657534246579</v>
      </c>
      <c r="D169" s="226">
        <f t="shared" si="392"/>
        <v>0.41877625570776256</v>
      </c>
      <c r="E169" s="46">
        <f>ABS(SUMIFS(SM!F:F,SM!$C:$C,"JUR",SM!$D:$D,$E164))</f>
        <v>180.64</v>
      </c>
      <c r="F169" s="46">
        <f>ABS(SUMIFS(SM!G:G,SM!$C:$C,"JUR",SM!$D:$D,$E164))</f>
        <v>123.07000000000001</v>
      </c>
      <c r="G169" s="46">
        <f>ABS(SUMIFS(SM!H:H,SM!$C:$C,"JUR",SM!$D:$D,$E164))</f>
        <v>154.85000000000002</v>
      </c>
      <c r="H169" s="64"/>
      <c r="I169" s="61">
        <f>AVERAGE(E169:G169)</f>
        <v>152.85333333333332</v>
      </c>
      <c r="J169" s="4">
        <f t="shared" ref="J169:U169" si="396">I169</f>
        <v>152.85333333333332</v>
      </c>
      <c r="K169" s="4">
        <f t="shared" si="396"/>
        <v>152.85333333333332</v>
      </c>
      <c r="L169" s="4">
        <f t="shared" si="396"/>
        <v>152.85333333333332</v>
      </c>
      <c r="M169" s="4">
        <f t="shared" si="396"/>
        <v>152.85333333333332</v>
      </c>
      <c r="N169" s="4">
        <f t="shared" si="396"/>
        <v>152.85333333333332</v>
      </c>
      <c r="O169" s="4">
        <f t="shared" si="396"/>
        <v>152.85333333333332</v>
      </c>
      <c r="P169" s="4">
        <f t="shared" si="396"/>
        <v>152.85333333333332</v>
      </c>
      <c r="Q169" s="4">
        <f t="shared" si="396"/>
        <v>152.85333333333332</v>
      </c>
      <c r="R169" s="4">
        <f t="shared" si="396"/>
        <v>152.85333333333332</v>
      </c>
      <c r="S169" s="4">
        <f t="shared" si="396"/>
        <v>152.85333333333332</v>
      </c>
      <c r="T169" s="4">
        <f t="shared" si="396"/>
        <v>152.85333333333332</v>
      </c>
      <c r="U169" s="4">
        <f t="shared" si="396"/>
        <v>152.85333333333332</v>
      </c>
    </row>
    <row r="170" spans="1:36" s="7" customFormat="1" ht="16.5" x14ac:dyDescent="0.35">
      <c r="A170" s="255" t="s">
        <v>524</v>
      </c>
      <c r="B170" s="256" t="s">
        <v>520</v>
      </c>
      <c r="C170" s="271">
        <f t="shared" si="391"/>
        <v>0.73150684931506849</v>
      </c>
      <c r="D170" s="271">
        <f t="shared" si="392"/>
        <v>0.76575342465753427</v>
      </c>
      <c r="E170" s="258">
        <f>ABS(SUMIFS(SM!F:F,SM!$C:$C,"OMA",SM!$D:$D,$E164))</f>
        <v>113</v>
      </c>
      <c r="F170" s="258">
        <f>ABS(SUMIFS(SM!G:G,SM!$C:$C,"OMA",SM!$D:$D,$E164))</f>
        <v>292</v>
      </c>
      <c r="G170" s="258">
        <f>ABS(SUMIFS(SM!H:H,SM!$C:$C,"OMA",SM!$D:$D,$E164))</f>
        <v>267</v>
      </c>
      <c r="H170" s="258"/>
      <c r="I170" s="275">
        <f>AVERAGE(F170:G170)</f>
        <v>279.5</v>
      </c>
      <c r="J170" s="259">
        <f t="shared" ref="J170:U170" si="397">I170</f>
        <v>279.5</v>
      </c>
      <c r="K170" s="259">
        <f t="shared" si="397"/>
        <v>279.5</v>
      </c>
      <c r="L170" s="259">
        <f t="shared" si="397"/>
        <v>279.5</v>
      </c>
      <c r="M170" s="259">
        <f t="shared" si="397"/>
        <v>279.5</v>
      </c>
      <c r="N170" s="259">
        <f t="shared" si="397"/>
        <v>279.5</v>
      </c>
      <c r="O170" s="259">
        <f t="shared" si="397"/>
        <v>279.5</v>
      </c>
      <c r="P170" s="259">
        <f t="shared" si="397"/>
        <v>279.5</v>
      </c>
      <c r="Q170" s="259">
        <f t="shared" si="397"/>
        <v>279.5</v>
      </c>
      <c r="R170" s="259">
        <f t="shared" si="397"/>
        <v>279.5</v>
      </c>
      <c r="S170" s="259">
        <f t="shared" si="397"/>
        <v>279.5</v>
      </c>
      <c r="T170" s="259">
        <f t="shared" si="397"/>
        <v>279.5</v>
      </c>
      <c r="U170" s="259">
        <f t="shared" si="397"/>
        <v>279.5</v>
      </c>
      <c r="W170" s="318"/>
      <c r="X170" s="332"/>
      <c r="Y170" s="332"/>
      <c r="Z170" s="332"/>
      <c r="AA170" s="332"/>
      <c r="AB170" s="332"/>
      <c r="AC170" s="332"/>
      <c r="AD170" s="332"/>
      <c r="AE170" s="332"/>
      <c r="AF170" s="332"/>
      <c r="AG170" s="332"/>
      <c r="AH170" s="332"/>
      <c r="AI170" s="332"/>
      <c r="AJ170" s="332"/>
    </row>
    <row r="171" spans="1:36" ht="16.5" x14ac:dyDescent="0.35">
      <c r="A171" s="30" t="s">
        <v>130</v>
      </c>
      <c r="B171" s="31" t="s">
        <v>125</v>
      </c>
      <c r="C171" s="225">
        <f t="shared" si="391"/>
        <v>1.11632871232877</v>
      </c>
      <c r="D171" s="226">
        <f t="shared" si="392"/>
        <v>1.132210785980772</v>
      </c>
      <c r="E171" s="210">
        <f>E166-E167-E170</f>
        <v>912.50002000000131</v>
      </c>
      <c r="F171" s="210">
        <f>F166-F167-F170</f>
        <v>470.12997999999743</v>
      </c>
      <c r="G171" s="210">
        <f>G166-G167-G170</f>
        <v>407.459980000001</v>
      </c>
      <c r="H171" s="64"/>
      <c r="I171" s="47">
        <f t="shared" ref="I171:U171" si="398">I172*I166</f>
        <v>385.5603725925925</v>
      </c>
      <c r="J171" s="4">
        <f t="shared" si="398"/>
        <v>388.1120756036234</v>
      </c>
      <c r="K171" s="4">
        <f t="shared" si="398"/>
        <v>390.60429708595399</v>
      </c>
      <c r="L171" s="4">
        <f t="shared" si="398"/>
        <v>393.02721440181733</v>
      </c>
      <c r="M171" s="4">
        <f t="shared" si="398"/>
        <v>395.38410176380239</v>
      </c>
      <c r="N171" s="4">
        <f t="shared" si="398"/>
        <v>397.69187593695244</v>
      </c>
      <c r="O171" s="4">
        <f t="shared" si="398"/>
        <v>399.95162832546379</v>
      </c>
      <c r="P171" s="4">
        <f t="shared" si="398"/>
        <v>402.18791552375387</v>
      </c>
      <c r="Q171" s="4">
        <f t="shared" si="398"/>
        <v>404.40510314860802</v>
      </c>
      <c r="R171" s="4">
        <f t="shared" si="398"/>
        <v>406.61137673149892</v>
      </c>
      <c r="S171" s="4">
        <f t="shared" si="398"/>
        <v>408.81110188921178</v>
      </c>
      <c r="T171" s="4">
        <f t="shared" si="398"/>
        <v>411.02283249308442</v>
      </c>
      <c r="U171" s="4">
        <f t="shared" si="398"/>
        <v>413.25693688298173</v>
      </c>
    </row>
    <row r="172" spans="1:36" x14ac:dyDescent="0.35">
      <c r="A172" s="30" t="s">
        <v>130</v>
      </c>
      <c r="B172" s="31" t="s">
        <v>131</v>
      </c>
      <c r="C172" s="74">
        <f>G172</f>
        <v>0.1053684975433155</v>
      </c>
      <c r="D172" s="54">
        <f>U172</f>
        <v>0.1</v>
      </c>
      <c r="E172" s="212">
        <f>IFERROR(E171/E166,"")</f>
        <v>0.20455055368751429</v>
      </c>
      <c r="F172" s="212">
        <f>IFERROR(F171/F166,"")</f>
        <v>0.10775383451753322</v>
      </c>
      <c r="G172" s="212">
        <f>IFERROR(G171/G166,"")</f>
        <v>0.1053684975433155</v>
      </c>
      <c r="H172" s="49"/>
      <c r="I172" s="362">
        <v>0.1</v>
      </c>
      <c r="J172" s="364">
        <f t="shared" ref="J172:U172" si="399">I172</f>
        <v>0.1</v>
      </c>
      <c r="K172" s="364">
        <f t="shared" si="399"/>
        <v>0.1</v>
      </c>
      <c r="L172" s="364">
        <f t="shared" si="399"/>
        <v>0.1</v>
      </c>
      <c r="M172" s="364">
        <f t="shared" si="399"/>
        <v>0.1</v>
      </c>
      <c r="N172" s="364">
        <f t="shared" si="399"/>
        <v>0.1</v>
      </c>
      <c r="O172" s="364">
        <f t="shared" si="399"/>
        <v>0.1</v>
      </c>
      <c r="P172" s="364">
        <f t="shared" si="399"/>
        <v>0.1</v>
      </c>
      <c r="Q172" s="364">
        <f t="shared" si="399"/>
        <v>0.1</v>
      </c>
      <c r="R172" s="364">
        <f t="shared" si="399"/>
        <v>0.1</v>
      </c>
      <c r="S172" s="364">
        <f t="shared" si="399"/>
        <v>0.1</v>
      </c>
      <c r="T172" s="364">
        <f t="shared" si="399"/>
        <v>0.1</v>
      </c>
      <c r="U172" s="364">
        <f t="shared" si="399"/>
        <v>0.1</v>
      </c>
      <c r="W172" s="319"/>
      <c r="X172" s="333"/>
      <c r="Y172" s="333"/>
      <c r="Z172" s="333"/>
      <c r="AA172" s="333"/>
      <c r="AB172" s="333"/>
      <c r="AC172" s="333"/>
      <c r="AD172" s="333"/>
      <c r="AE172" s="333"/>
      <c r="AF172" s="333"/>
      <c r="AG172" s="333"/>
      <c r="AH172" s="333"/>
      <c r="AI172" s="333"/>
      <c r="AJ172" s="333"/>
    </row>
    <row r="173" spans="1:36" x14ac:dyDescent="0.35">
      <c r="A173" s="30" t="s">
        <v>128</v>
      </c>
      <c r="B173" s="31" t="s">
        <v>129</v>
      </c>
      <c r="C173" s="53">
        <f>G173</f>
        <v>102.74615322171483</v>
      </c>
      <c r="D173" s="53">
        <f>U173</f>
        <v>102.74615322171483</v>
      </c>
      <c r="E173" s="46">
        <f>IFERROR(E168/E174/365*1000,0)</f>
        <v>110.09166176221881</v>
      </c>
      <c r="F173" s="46">
        <f>IFERROR(F168/F174/365*1000,0)</f>
        <v>117.63233620835454</v>
      </c>
      <c r="G173" s="46">
        <f>IFERROR(G168/G174/365*1000,0)</f>
        <v>102.74615322171483</v>
      </c>
      <c r="H173" s="46"/>
      <c r="I173" s="76">
        <f>G173</f>
        <v>102.74615322171483</v>
      </c>
      <c r="J173" s="4">
        <f t="shared" ref="J173:U173" si="400">I173</f>
        <v>102.74615322171483</v>
      </c>
      <c r="K173" s="4">
        <f t="shared" si="400"/>
        <v>102.74615322171483</v>
      </c>
      <c r="L173" s="4">
        <f t="shared" si="400"/>
        <v>102.74615322171483</v>
      </c>
      <c r="M173" s="4">
        <f t="shared" si="400"/>
        <v>102.74615322171483</v>
      </c>
      <c r="N173" s="4">
        <f t="shared" si="400"/>
        <v>102.74615322171483</v>
      </c>
      <c r="O173" s="4">
        <f t="shared" si="400"/>
        <v>102.74615322171483</v>
      </c>
      <c r="P173" s="4">
        <f t="shared" si="400"/>
        <v>102.74615322171483</v>
      </c>
      <c r="Q173" s="4">
        <f t="shared" si="400"/>
        <v>102.74615322171483</v>
      </c>
      <c r="R173" s="4">
        <f t="shared" si="400"/>
        <v>102.74615322171483</v>
      </c>
      <c r="S173" s="4">
        <f t="shared" si="400"/>
        <v>102.74615322171483</v>
      </c>
      <c r="T173" s="4">
        <f t="shared" si="400"/>
        <v>102.74615322171483</v>
      </c>
      <c r="U173" s="4">
        <f t="shared" si="400"/>
        <v>102.74615322171483</v>
      </c>
    </row>
    <row r="174" spans="1:36" x14ac:dyDescent="0.35">
      <c r="A174" s="77" t="s">
        <v>136</v>
      </c>
      <c r="B174" s="78" t="s">
        <v>137</v>
      </c>
      <c r="C174" s="355">
        <f>G174</f>
        <v>81</v>
      </c>
      <c r="D174" s="355">
        <f>U174</f>
        <v>87.646759621540895</v>
      </c>
      <c r="E174" s="213">
        <f>VLOOKUP($A164,Elanikud!$A$1:$S$20,Elanikud!B$21,FALSE)</f>
        <v>81</v>
      </c>
      <c r="F174" s="213">
        <f>VLOOKUP($A164,Elanikud!$A$1:$S$20,Elanikud!C$21,FALSE)</f>
        <v>81</v>
      </c>
      <c r="G174" s="213">
        <f>VLOOKUP($A164,Elanikud!$A$1:$S$20,Elanikud!D$21,FALSE)</f>
        <v>81</v>
      </c>
      <c r="H174" s="213">
        <f>VLOOKUP($A164,Elanikud!$A$1:$S$20,Elanikud!E$21,FALSE)</f>
        <v>81</v>
      </c>
      <c r="I174" s="62">
        <f>VLOOKUP($A164,Elanikud!$A$1:$S$20,Elanikud!E$21,FALSE)</f>
        <v>81</v>
      </c>
      <c r="J174" s="241">
        <f>VLOOKUP($A164,Elanikud!$A$1:$S$20,Elanikud!F$21,FALSE)</f>
        <v>81.61237041396393</v>
      </c>
      <c r="K174" s="241">
        <f>VLOOKUP($A164,Elanikud!$A$1:$S$20,Elanikud!G$21,FALSE)</f>
        <v>82.210466154035203</v>
      </c>
      <c r="L174" s="241">
        <f>VLOOKUP($A164,Elanikud!$A$1:$S$20,Elanikud!H$21,FALSE)</f>
        <v>82.79192993461686</v>
      </c>
      <c r="M174" s="241">
        <f>VLOOKUP($A164,Elanikud!$A$1:$S$20,Elanikud!I$21,FALSE)</f>
        <v>83.357547517574559</v>
      </c>
      <c r="N174" s="241">
        <f>VLOOKUP($A164,Elanikud!$A$1:$S$20,Elanikud!J$21,FALSE)</f>
        <v>83.911378672547499</v>
      </c>
      <c r="O174" s="241">
        <f>VLOOKUP($A164,Elanikud!$A$1:$S$20,Elanikud!K$21,FALSE)</f>
        <v>84.453685320157561</v>
      </c>
      <c r="P174" s="241">
        <f>VLOOKUP($A164,Elanikud!$A$1:$S$20,Elanikud!L$21,FALSE)</f>
        <v>84.990360674397124</v>
      </c>
      <c r="Q174" s="241">
        <f>VLOOKUP($A164,Elanikud!$A$1:$S$20,Elanikud!M$21,FALSE)</f>
        <v>85.522452417753712</v>
      </c>
      <c r="R174" s="241">
        <f>VLOOKUP($A164,Elanikud!$A$1:$S$20,Elanikud!N$21,FALSE)</f>
        <v>86.051924954891476</v>
      </c>
      <c r="S174" s="241">
        <f>VLOOKUP($A164,Elanikud!$A$1:$S$20,Elanikud!O$21,FALSE)</f>
        <v>86.579825968297925</v>
      </c>
      <c r="T174" s="241">
        <f>VLOOKUP($A164,Elanikud!$A$1:$S$20,Elanikud!P$21,FALSE)</f>
        <v>87.110608108545108</v>
      </c>
      <c r="U174" s="241">
        <f>VLOOKUP($A164,Elanikud!$A$1:$S$20,Elanikud!Q$21,FALSE)</f>
        <v>87.646759621540895</v>
      </c>
    </row>
    <row r="175" spans="1:36" x14ac:dyDescent="0.35">
      <c r="A175" s="35" t="s">
        <v>43</v>
      </c>
      <c r="B175" s="33"/>
      <c r="C175" s="33"/>
      <c r="D175" s="33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W175" s="319"/>
      <c r="X175" s="333"/>
      <c r="Y175" s="333"/>
      <c r="Z175" s="333"/>
      <c r="AA175" s="333"/>
      <c r="AB175" s="333"/>
      <c r="AC175" s="333"/>
      <c r="AD175" s="333"/>
      <c r="AE175" s="333"/>
      <c r="AF175" s="333"/>
      <c r="AG175" s="333"/>
      <c r="AH175" s="333"/>
      <c r="AI175" s="333"/>
      <c r="AJ175" s="333"/>
    </row>
    <row r="176" spans="1:36" ht="16.5" x14ac:dyDescent="0.35">
      <c r="A176" s="30" t="s">
        <v>132</v>
      </c>
      <c r="B176" s="31" t="s">
        <v>125</v>
      </c>
      <c r="C176" s="53">
        <f t="shared" ref="C176:C181" si="401">G176/365</f>
        <v>0</v>
      </c>
      <c r="D176" s="53">
        <f t="shared" ref="D176:D181" si="402">U176/365</f>
        <v>0</v>
      </c>
      <c r="E176" s="71">
        <f>ABS(SUMIFS(SM!I:I,SM!$C:$C,"too",SM!$D:$D,$E164))+E181</f>
        <v>0</v>
      </c>
      <c r="F176" s="71">
        <f>ABS(SUMIFS(SM!J:J,SM!$C:$C,"too",SM!$D:$D,$E164))+F181</f>
        <v>0</v>
      </c>
      <c r="G176" s="71">
        <f>ABS(SUMIFS(SM!K:K,SM!$C:$C,"too",SM!$D:$D,$E164))+G181</f>
        <v>0</v>
      </c>
      <c r="H176" s="45"/>
      <c r="I176" s="47">
        <f>(I177+I180)/(100%-I182)</f>
        <v>0</v>
      </c>
      <c r="J176" s="4">
        <f t="shared" ref="J176" si="403">(J177+J180)/(100%-J182)</f>
        <v>0</v>
      </c>
      <c r="K176" s="4">
        <f t="shared" ref="K176" si="404">(K177+K180)/(100%-K182)</f>
        <v>0</v>
      </c>
      <c r="L176" s="4">
        <f t="shared" ref="L176" si="405">(L177+L180)/(100%-L182)</f>
        <v>0</v>
      </c>
      <c r="M176" s="4">
        <f t="shared" ref="M176" si="406">(M177+M180)/(100%-M182)</f>
        <v>0</v>
      </c>
      <c r="N176" s="4">
        <f t="shared" ref="N176" si="407">(N177+N180)/(100%-N182)</f>
        <v>0</v>
      </c>
      <c r="O176" s="4">
        <f t="shared" ref="O176" si="408">(O177+O180)/(100%-O182)</f>
        <v>0</v>
      </c>
      <c r="P176" s="4">
        <f t="shared" ref="P176" si="409">(P177+P180)/(100%-P182)</f>
        <v>0</v>
      </c>
      <c r="Q176" s="4">
        <f t="shared" ref="Q176" si="410">(Q177+Q180)/(100%-Q182)</f>
        <v>0</v>
      </c>
      <c r="R176" s="4">
        <f t="shared" ref="R176" si="411">(R177+R180)/(100%-R182)</f>
        <v>0</v>
      </c>
      <c r="S176" s="4">
        <f t="shared" ref="S176" si="412">(S177+S180)/(100%-S182)</f>
        <v>0</v>
      </c>
      <c r="T176" s="4">
        <f t="shared" ref="T176" si="413">(T177+T180)/(100%-T182)</f>
        <v>0</v>
      </c>
      <c r="U176" s="4">
        <f t="shared" ref="U176" si="414">(U177+U180)/(100%-U182)</f>
        <v>0</v>
      </c>
      <c r="W176" s="320"/>
      <c r="X176" s="334"/>
      <c r="Y176" s="334"/>
      <c r="Z176" s="335"/>
      <c r="AA176" s="335"/>
      <c r="AB176" s="335"/>
      <c r="AC176" s="335"/>
      <c r="AD176" s="335"/>
      <c r="AE176" s="335"/>
      <c r="AF176" s="335"/>
      <c r="AG176" s="335"/>
      <c r="AH176" s="335"/>
      <c r="AI176" s="335"/>
      <c r="AJ176" s="335"/>
    </row>
    <row r="177" spans="1:36" ht="16.5" x14ac:dyDescent="0.35">
      <c r="A177" s="30" t="s">
        <v>133</v>
      </c>
      <c r="B177" s="31" t="s">
        <v>125</v>
      </c>
      <c r="C177" s="53">
        <f t="shared" si="401"/>
        <v>0</v>
      </c>
      <c r="D177" s="53">
        <f t="shared" si="402"/>
        <v>0</v>
      </c>
      <c r="E177" s="45">
        <f>E178+E179</f>
        <v>0</v>
      </c>
      <c r="F177" s="45">
        <f>F178+F179</f>
        <v>0</v>
      </c>
      <c r="G177" s="45">
        <f>G178+G179</f>
        <v>0</v>
      </c>
      <c r="H177" s="45"/>
      <c r="I177" s="48">
        <f t="shared" ref="I177" si="415">I178+I179</f>
        <v>0</v>
      </c>
      <c r="J177" s="12">
        <f t="shared" ref="J177" si="416">J178+J179</f>
        <v>0</v>
      </c>
      <c r="K177" s="12">
        <f t="shared" ref="K177" si="417">K178+K179</f>
        <v>0</v>
      </c>
      <c r="L177" s="12">
        <f t="shared" ref="L177" si="418">L178+L179</f>
        <v>0</v>
      </c>
      <c r="M177" s="12">
        <f t="shared" ref="M177" si="419">M178+M179</f>
        <v>0</v>
      </c>
      <c r="N177" s="12">
        <f t="shared" ref="N177" si="420">N178+N179</f>
        <v>0</v>
      </c>
      <c r="O177" s="12">
        <f t="shared" ref="O177" si="421">O178+O179</f>
        <v>0</v>
      </c>
      <c r="P177" s="12">
        <f t="shared" ref="P177" si="422">P178+P179</f>
        <v>0</v>
      </c>
      <c r="Q177" s="12">
        <f t="shared" ref="Q177" si="423">Q178+Q179</f>
        <v>0</v>
      </c>
      <c r="R177" s="12">
        <f t="shared" ref="R177" si="424">R178+R179</f>
        <v>0</v>
      </c>
      <c r="S177" s="12">
        <f t="shared" ref="S177" si="425">S178+S179</f>
        <v>0</v>
      </c>
      <c r="T177" s="12">
        <f t="shared" ref="T177" si="426">T178+T179</f>
        <v>0</v>
      </c>
      <c r="U177" s="12">
        <f t="shared" ref="U177" si="427">U178+U179</f>
        <v>0</v>
      </c>
    </row>
    <row r="178" spans="1:36" ht="16.5" x14ac:dyDescent="0.35">
      <c r="A178" s="30" t="s">
        <v>134</v>
      </c>
      <c r="B178" s="31" t="s">
        <v>125</v>
      </c>
      <c r="C178" s="53">
        <f t="shared" si="401"/>
        <v>0</v>
      </c>
      <c r="D178" s="53">
        <f t="shared" si="402"/>
        <v>0</v>
      </c>
      <c r="E178" s="45">
        <f>ABS(SUMIFS(SM!I:I,SM!$C:$C,"era",SM!$D:$D,$E164))</f>
        <v>0</v>
      </c>
      <c r="F178" s="45">
        <f>ABS(SUMIFS(SM!J:J,SM!$C:$C,"era",SM!$D:$D,$E164))</f>
        <v>0</v>
      </c>
      <c r="G178" s="45">
        <f>ABS(SUMIFS(SM!K:K,SM!$C:$C,"era",SM!$D:$D,$E164))</f>
        <v>0</v>
      </c>
      <c r="H178" s="71"/>
      <c r="I178" s="47">
        <f t="shared" ref="I178:U178" si="428">I184*I183*365/1000</f>
        <v>0</v>
      </c>
      <c r="J178" s="4">
        <f t="shared" si="428"/>
        <v>0</v>
      </c>
      <c r="K178" s="4">
        <f t="shared" si="428"/>
        <v>0</v>
      </c>
      <c r="L178" s="4">
        <f t="shared" si="428"/>
        <v>0</v>
      </c>
      <c r="M178" s="4">
        <f t="shared" si="428"/>
        <v>0</v>
      </c>
      <c r="N178" s="4">
        <f t="shared" si="428"/>
        <v>0</v>
      </c>
      <c r="O178" s="4">
        <f t="shared" si="428"/>
        <v>0</v>
      </c>
      <c r="P178" s="4">
        <f t="shared" si="428"/>
        <v>0</v>
      </c>
      <c r="Q178" s="4">
        <f t="shared" si="428"/>
        <v>0</v>
      </c>
      <c r="R178" s="4">
        <f t="shared" si="428"/>
        <v>0</v>
      </c>
      <c r="S178" s="4">
        <f t="shared" si="428"/>
        <v>0</v>
      </c>
      <c r="T178" s="4">
        <f t="shared" si="428"/>
        <v>0</v>
      </c>
      <c r="U178" s="4">
        <f t="shared" si="428"/>
        <v>0</v>
      </c>
    </row>
    <row r="179" spans="1:36" ht="16.5" x14ac:dyDescent="0.35">
      <c r="A179" s="30" t="s">
        <v>498</v>
      </c>
      <c r="B179" s="31" t="s">
        <v>125</v>
      </c>
      <c r="C179" s="53">
        <f t="shared" si="401"/>
        <v>0</v>
      </c>
      <c r="D179" s="53">
        <f t="shared" si="402"/>
        <v>0</v>
      </c>
      <c r="E179" s="45">
        <f>ABS(SUMIFS(SM!I:I,SM!$C:$C,"jur",SM!$D:$D,$E164))</f>
        <v>0</v>
      </c>
      <c r="F179" s="45">
        <f>ABS(SUMIFS(SM!J:J,SM!$C:$C,"jur",SM!$D:$D,$E164))</f>
        <v>0</v>
      </c>
      <c r="G179" s="45">
        <f>ABS(SUMIFS(SM!K:K,SM!$C:$C,"jur",SM!$D:$D,$E164))</f>
        <v>0</v>
      </c>
      <c r="H179" s="71"/>
      <c r="I179" s="76">
        <f>G179</f>
        <v>0</v>
      </c>
      <c r="J179" s="4">
        <f t="shared" ref="J179:U179" si="429">I179</f>
        <v>0</v>
      </c>
      <c r="K179" s="4">
        <f t="shared" si="429"/>
        <v>0</v>
      </c>
      <c r="L179" s="4">
        <f t="shared" si="429"/>
        <v>0</v>
      </c>
      <c r="M179" s="4">
        <f t="shared" si="429"/>
        <v>0</v>
      </c>
      <c r="N179" s="4">
        <f t="shared" si="429"/>
        <v>0</v>
      </c>
      <c r="O179" s="4">
        <f t="shared" si="429"/>
        <v>0</v>
      </c>
      <c r="P179" s="4">
        <f t="shared" si="429"/>
        <v>0</v>
      </c>
      <c r="Q179" s="4">
        <f t="shared" si="429"/>
        <v>0</v>
      </c>
      <c r="R179" s="4">
        <f t="shared" si="429"/>
        <v>0</v>
      </c>
      <c r="S179" s="4">
        <f t="shared" si="429"/>
        <v>0</v>
      </c>
      <c r="T179" s="4">
        <f t="shared" si="429"/>
        <v>0</v>
      </c>
      <c r="U179" s="4">
        <f t="shared" si="429"/>
        <v>0</v>
      </c>
    </row>
    <row r="180" spans="1:36" s="70" customFormat="1" x14ac:dyDescent="0.35">
      <c r="A180" s="260" t="s">
        <v>525</v>
      </c>
      <c r="B180" s="261" t="s">
        <v>521</v>
      </c>
      <c r="C180" s="262">
        <f t="shared" si="401"/>
        <v>0</v>
      </c>
      <c r="D180" s="262">
        <f t="shared" si="402"/>
        <v>0</v>
      </c>
      <c r="E180" s="263">
        <f>ABS(SUMIFS(SM!I:I,SM!$C:$C,"OMA",SM!$D:$D,$E164))</f>
        <v>0</v>
      </c>
      <c r="F180" s="263">
        <f>ABS(SUMIFS(SM!J:J,SM!$C:$C,"OMA",SM!$D:$D,$E164))</f>
        <v>0</v>
      </c>
      <c r="G180" s="263">
        <f>ABS(SUMIFS(SM!K:K,SM!$C:$C,"OMA",SM!$D:$D,$E164))</f>
        <v>0</v>
      </c>
      <c r="H180" s="263"/>
      <c r="I180" s="276">
        <f>IFERROR(AVERAGE(E180:G180),0)</f>
        <v>0</v>
      </c>
      <c r="J180" s="264">
        <f t="shared" ref="J180:U180" si="430">I180</f>
        <v>0</v>
      </c>
      <c r="K180" s="264">
        <f t="shared" si="430"/>
        <v>0</v>
      </c>
      <c r="L180" s="264">
        <f t="shared" si="430"/>
        <v>0</v>
      </c>
      <c r="M180" s="264">
        <f t="shared" si="430"/>
        <v>0</v>
      </c>
      <c r="N180" s="264">
        <f t="shared" si="430"/>
        <v>0</v>
      </c>
      <c r="O180" s="264">
        <f t="shared" si="430"/>
        <v>0</v>
      </c>
      <c r="P180" s="264">
        <f t="shared" si="430"/>
        <v>0</v>
      </c>
      <c r="Q180" s="264">
        <f t="shared" si="430"/>
        <v>0</v>
      </c>
      <c r="R180" s="264">
        <f t="shared" si="430"/>
        <v>0</v>
      </c>
      <c r="S180" s="264">
        <f t="shared" si="430"/>
        <v>0</v>
      </c>
      <c r="T180" s="264">
        <f t="shared" si="430"/>
        <v>0</v>
      </c>
      <c r="U180" s="264">
        <f t="shared" si="430"/>
        <v>0</v>
      </c>
      <c r="W180" s="318"/>
      <c r="X180" s="332"/>
      <c r="Y180" s="332"/>
      <c r="Z180" s="332"/>
      <c r="AA180" s="332"/>
      <c r="AB180" s="332"/>
      <c r="AC180" s="332"/>
      <c r="AD180" s="332"/>
      <c r="AE180" s="332"/>
      <c r="AF180" s="332"/>
      <c r="AG180" s="332"/>
      <c r="AH180" s="332"/>
      <c r="AI180" s="332"/>
      <c r="AJ180" s="332"/>
    </row>
    <row r="181" spans="1:36" ht="16.5" x14ac:dyDescent="0.35">
      <c r="A181" s="30" t="s">
        <v>135</v>
      </c>
      <c r="B181" s="31" t="s">
        <v>125</v>
      </c>
      <c r="C181" s="53">
        <f t="shared" si="401"/>
        <v>0</v>
      </c>
      <c r="D181" s="53">
        <f t="shared" si="402"/>
        <v>0</v>
      </c>
      <c r="E181" s="71">
        <f>ABS(SUMIFS(SM!I:I,SM!$C:$C,"KAD",SM!$D:$D,$E164))</f>
        <v>0</v>
      </c>
      <c r="F181" s="71">
        <f>ABS(SUMIFS(SM!J:J,SM!$C:$C,"KAD",SM!$D:$D,$E164))</f>
        <v>0</v>
      </c>
      <c r="G181" s="71">
        <f>ABS(SUMIFS(SM!K:K,SM!$C:$C,"KAD",SM!$D:$D,$E164))</f>
        <v>0</v>
      </c>
      <c r="H181" s="45"/>
      <c r="I181" s="47">
        <f>I182*I176</f>
        <v>0</v>
      </c>
      <c r="J181" s="4">
        <f t="shared" ref="J181" si="431">J182*J176</f>
        <v>0</v>
      </c>
      <c r="K181" s="4">
        <f t="shared" ref="K181" si="432">K182*K176</f>
        <v>0</v>
      </c>
      <c r="L181" s="4">
        <f t="shared" ref="L181" si="433">L182*L176</f>
        <v>0</v>
      </c>
      <c r="M181" s="4">
        <f t="shared" ref="M181" si="434">M182*M176</f>
        <v>0</v>
      </c>
      <c r="N181" s="4">
        <f t="shared" ref="N181" si="435">N182*N176</f>
        <v>0</v>
      </c>
      <c r="O181" s="4">
        <f t="shared" ref="O181" si="436">O182*O176</f>
        <v>0</v>
      </c>
      <c r="P181" s="4">
        <f t="shared" ref="P181" si="437">P182*P176</f>
        <v>0</v>
      </c>
      <c r="Q181" s="4">
        <f t="shared" ref="Q181" si="438">Q182*Q176</f>
        <v>0</v>
      </c>
      <c r="R181" s="4">
        <f t="shared" ref="R181" si="439">R182*R176</f>
        <v>0</v>
      </c>
      <c r="S181" s="4">
        <f t="shared" ref="S181" si="440">S182*S176</f>
        <v>0</v>
      </c>
      <c r="T181" s="4">
        <f t="shared" ref="T181" si="441">T182*T176</f>
        <v>0</v>
      </c>
      <c r="U181" s="4">
        <f t="shared" ref="U181" si="442">U182*U176</f>
        <v>0</v>
      </c>
    </row>
    <row r="182" spans="1:36" x14ac:dyDescent="0.35">
      <c r="A182" s="30" t="s">
        <v>135</v>
      </c>
      <c r="B182" s="31" t="s">
        <v>131</v>
      </c>
      <c r="C182" s="73" t="str">
        <f>G182</f>
        <v/>
      </c>
      <c r="D182" s="54">
        <f>U182</f>
        <v>0</v>
      </c>
      <c r="E182" s="50" t="str">
        <f>IFERROR(E181/E176,"")</f>
        <v/>
      </c>
      <c r="F182" s="50" t="str">
        <f>IFERROR(F181/F176,"")</f>
        <v/>
      </c>
      <c r="G182" s="50" t="str">
        <f>IFERROR(G181/G176,"")</f>
        <v/>
      </c>
      <c r="H182" s="50" t="str">
        <f>IFERROR(H181/H176,"")</f>
        <v/>
      </c>
      <c r="I182" s="186">
        <v>0</v>
      </c>
      <c r="J182" s="38">
        <f t="shared" ref="J182:U182" si="443">I182</f>
        <v>0</v>
      </c>
      <c r="K182" s="38">
        <f t="shared" si="443"/>
        <v>0</v>
      </c>
      <c r="L182" s="38">
        <f t="shared" si="443"/>
        <v>0</v>
      </c>
      <c r="M182" s="38">
        <f t="shared" si="443"/>
        <v>0</v>
      </c>
      <c r="N182" s="38">
        <f t="shared" si="443"/>
        <v>0</v>
      </c>
      <c r="O182" s="38">
        <f t="shared" si="443"/>
        <v>0</v>
      </c>
      <c r="P182" s="38">
        <f t="shared" si="443"/>
        <v>0</v>
      </c>
      <c r="Q182" s="38">
        <f t="shared" si="443"/>
        <v>0</v>
      </c>
      <c r="R182" s="38">
        <f t="shared" si="443"/>
        <v>0</v>
      </c>
      <c r="S182" s="38">
        <f t="shared" si="443"/>
        <v>0</v>
      </c>
      <c r="T182" s="38">
        <f t="shared" si="443"/>
        <v>0</v>
      </c>
      <c r="U182" s="38">
        <f t="shared" si="443"/>
        <v>0</v>
      </c>
    </row>
    <row r="183" spans="1:36" s="70" customFormat="1" x14ac:dyDescent="0.35">
      <c r="A183" s="181" t="s">
        <v>128</v>
      </c>
      <c r="B183" s="182" t="s">
        <v>129</v>
      </c>
      <c r="C183" s="211">
        <f>G183</f>
        <v>0</v>
      </c>
      <c r="D183" s="211">
        <f>U183</f>
        <v>0</v>
      </c>
      <c r="E183" s="71">
        <f>IFERROR(E178/E184/365*1000,0)</f>
        <v>0</v>
      </c>
      <c r="F183" s="71">
        <f>IFERROR(F178/F184/365*1000,0)</f>
        <v>0</v>
      </c>
      <c r="G183" s="71">
        <f>IFERROR(G178/G184/365*1000,0)</f>
        <v>0</v>
      </c>
      <c r="H183" s="71"/>
      <c r="I183" s="76">
        <f>G183</f>
        <v>0</v>
      </c>
      <c r="J183" s="4">
        <f>IF(I183=0,0,IF(I183&gt;Veehind!$B$16,I183,I183+(Veehind!$B$16-$I183)/12))</f>
        <v>0</v>
      </c>
      <c r="K183" s="4">
        <f>IF(J183=0,0,IF(J183&gt;Veehind!$B$16,J183,J183+(Veehind!$B$16-$I183)/12))</f>
        <v>0</v>
      </c>
      <c r="L183" s="4">
        <f>IF(K183=0,0,IF(K183&gt;Veehind!$B$16,K183,K183+(Veehind!$B$16-$I183)/12))</f>
        <v>0</v>
      </c>
      <c r="M183" s="4">
        <f>IF(L183=0,0,IF(L183&gt;Veehind!$B$16,L183,L183+(Veehind!$B$16-$I183)/12))</f>
        <v>0</v>
      </c>
      <c r="N183" s="4">
        <f>IF(M183=0,0,IF(M183&gt;Veehind!$B$16,M183,M183+(Veehind!$B$16-$I183)/12))</f>
        <v>0</v>
      </c>
      <c r="O183" s="4">
        <f>IF(N183=0,0,IF(N183&gt;Veehind!$B$16,N183,N183+(Veehind!$B$16-$I183)/12))</f>
        <v>0</v>
      </c>
      <c r="P183" s="4">
        <f>IF(O183=0,0,IF(O183&gt;Veehind!$B$16,O183,O183+(Veehind!$B$16-$I183)/12))</f>
        <v>0</v>
      </c>
      <c r="Q183" s="4">
        <f>IF(P183=0,0,IF(P183&gt;Veehind!$B$16,P183,P183+(Veehind!$B$16-$I183)/12))</f>
        <v>0</v>
      </c>
      <c r="R183" s="4">
        <f>IF(Q183=0,0,IF(Q183&gt;Veehind!$B$16,Q183,Q183+(Veehind!$B$16-$I183)/12))</f>
        <v>0</v>
      </c>
      <c r="S183" s="4">
        <f>IF(R183=0,0,IF(R183&gt;Veehind!$B$16,R183,R183+(Veehind!$B$16-$I183)/12))</f>
        <v>0</v>
      </c>
      <c r="T183" s="4">
        <f>IF(S183=0,0,IF(S183&gt;Veehind!$B$16,S183,S183+(Veehind!$B$16-$I183)/12))</f>
        <v>0</v>
      </c>
      <c r="U183" s="4">
        <f>IF(T183=0,0,IF(T183&gt;Veehind!$B$16,T183,T183+(Veehind!$B$16-$I183)/12))</f>
        <v>0</v>
      </c>
      <c r="W183" s="320"/>
      <c r="X183" s="334"/>
      <c r="Y183" s="334"/>
      <c r="Z183" s="334"/>
      <c r="AA183" s="334"/>
      <c r="AB183" s="334"/>
      <c r="AC183" s="334"/>
      <c r="AD183" s="334"/>
      <c r="AE183" s="334"/>
      <c r="AF183" s="334"/>
      <c r="AG183" s="334"/>
      <c r="AH183" s="334"/>
      <c r="AI183" s="334"/>
      <c r="AJ183" s="334"/>
    </row>
    <row r="184" spans="1:36" s="37" customFormat="1" x14ac:dyDescent="0.35">
      <c r="A184" s="77" t="s">
        <v>136</v>
      </c>
      <c r="B184" s="78" t="s">
        <v>137</v>
      </c>
      <c r="C184" s="355">
        <f>G184</f>
        <v>0</v>
      </c>
      <c r="D184" s="355">
        <f>U184</f>
        <v>0</v>
      </c>
      <c r="E184" s="215">
        <f>VLOOKUP($A164,Elanikud!$A$22:$S$41,Elanikud!B$21,FALSE)</f>
        <v>0</v>
      </c>
      <c r="F184" s="215">
        <f>VLOOKUP($A164,Elanikud!$A$22:$S$41,Elanikud!C$21,FALSE)</f>
        <v>0</v>
      </c>
      <c r="G184" s="215">
        <f>VLOOKUP($A164,Elanikud!$A$22:$S$41,Elanikud!D$21,FALSE)</f>
        <v>0</v>
      </c>
      <c r="H184" s="215">
        <f>VLOOKUP($A164,Elanikud!$A$22:$S$41,Elanikud!E$21,FALSE)</f>
        <v>0</v>
      </c>
      <c r="I184" s="62">
        <f>VLOOKUP($A164,Elanikud!$A$22:$S$41,Elanikud!E$21,FALSE)</f>
        <v>0</v>
      </c>
      <c r="J184" s="241">
        <f>VLOOKUP($A164,Elanikud!$A$22:$S$41,Elanikud!F$21,FALSE)</f>
        <v>0</v>
      </c>
      <c r="K184" s="241">
        <f>VLOOKUP($A164,Elanikud!$A$22:$S$41,Elanikud!G$21,FALSE)</f>
        <v>0</v>
      </c>
      <c r="L184" s="241">
        <f>VLOOKUP($A164,Elanikud!$A$22:$S$41,Elanikud!H$21,FALSE)</f>
        <v>0</v>
      </c>
      <c r="M184" s="241">
        <f>VLOOKUP($A164,Elanikud!$A$22:$S$41,Elanikud!I$21,FALSE)</f>
        <v>0</v>
      </c>
      <c r="N184" s="241">
        <f>VLOOKUP($A164,Elanikud!$A$22:$S$41,Elanikud!J$21,FALSE)</f>
        <v>0</v>
      </c>
      <c r="O184" s="241">
        <f>VLOOKUP($A164,Elanikud!$A$22:$S$41,Elanikud!K$21,FALSE)</f>
        <v>0</v>
      </c>
      <c r="P184" s="241">
        <f>VLOOKUP($A164,Elanikud!$A$22:$S$41,Elanikud!L$21,FALSE)</f>
        <v>0</v>
      </c>
      <c r="Q184" s="241">
        <f>VLOOKUP($A164,Elanikud!$A$22:$S$41,Elanikud!M$21,FALSE)</f>
        <v>0</v>
      </c>
      <c r="R184" s="241">
        <f>VLOOKUP($A164,Elanikud!$A$22:$S$41,Elanikud!N$21,FALSE)</f>
        <v>0</v>
      </c>
      <c r="S184" s="241">
        <f>VLOOKUP($A164,Elanikud!$A$22:$S$41,Elanikud!O$21,FALSE)</f>
        <v>0</v>
      </c>
      <c r="T184" s="241">
        <f>VLOOKUP($A164,Elanikud!$A$22:$S$41,Elanikud!P$21,FALSE)</f>
        <v>0</v>
      </c>
      <c r="U184" s="241">
        <f>VLOOKUP($A164,Elanikud!$A$22:$S$41,Elanikud!Q$21,FALSE)</f>
        <v>0</v>
      </c>
      <c r="V184"/>
      <c r="W184" s="318"/>
      <c r="X184" s="332"/>
      <c r="Y184" s="332"/>
      <c r="Z184" s="332"/>
      <c r="AA184" s="332"/>
      <c r="AB184" s="332"/>
      <c r="AC184" s="332"/>
      <c r="AD184" s="332"/>
      <c r="AE184" s="332"/>
      <c r="AF184" s="332"/>
      <c r="AG184" s="332"/>
      <c r="AH184" s="332"/>
      <c r="AI184" s="332"/>
      <c r="AJ184" s="332"/>
    </row>
    <row r="185" spans="1:36" x14ac:dyDescent="0.35">
      <c r="A185" s="36" t="s">
        <v>483</v>
      </c>
      <c r="B185" s="36"/>
      <c r="C185" s="36"/>
      <c r="D185" s="36"/>
      <c r="E185" s="41" t="s">
        <v>483</v>
      </c>
      <c r="F185" s="41"/>
      <c r="G185" s="41"/>
      <c r="H185" s="41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36" outlineLevel="1" x14ac:dyDescent="0.35">
      <c r="A186" s="34" t="s">
        <v>21</v>
      </c>
      <c r="B186" s="32"/>
      <c r="C186" s="32"/>
      <c r="D186" s="32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36" ht="16.5" outlineLevel="1" x14ac:dyDescent="0.35">
      <c r="A187" s="30" t="s">
        <v>124</v>
      </c>
      <c r="B187" s="31" t="s">
        <v>125</v>
      </c>
      <c r="C187" s="226">
        <f t="shared" ref="C187:C192" si="444">G187/365</f>
        <v>0</v>
      </c>
      <c r="D187" s="225">
        <f t="shared" ref="D187:D192" si="445">U187/365</f>
        <v>0</v>
      </c>
      <c r="E187" s="46">
        <f>SUMIFS(SM!F:F,SM!$C:$C,"TOO",SM!$D:$D,$E185)</f>
        <v>0</v>
      </c>
      <c r="F187" s="46">
        <f>SUMIFS(SM!G:G,SM!$C:$C,"TOO",SM!$D:$D,$E185)</f>
        <v>0</v>
      </c>
      <c r="G187" s="46">
        <f>SUMIFS(SM!H:H,SM!$C:$C,"TOO",SM!$D:$D,$E185)</f>
        <v>0</v>
      </c>
      <c r="H187" s="46"/>
      <c r="I187" s="76">
        <f t="shared" ref="I187:U187" si="446">(I188+I191)/(100%-I193)</f>
        <v>0</v>
      </c>
      <c r="J187" s="4">
        <f t="shared" si="446"/>
        <v>0</v>
      </c>
      <c r="K187" s="4">
        <f t="shared" si="446"/>
        <v>0</v>
      </c>
      <c r="L187" s="4">
        <f t="shared" si="446"/>
        <v>0</v>
      </c>
      <c r="M187" s="4">
        <f t="shared" si="446"/>
        <v>0</v>
      </c>
      <c r="N187" s="4">
        <f t="shared" si="446"/>
        <v>0</v>
      </c>
      <c r="O187" s="4">
        <f t="shared" si="446"/>
        <v>0</v>
      </c>
      <c r="P187" s="4">
        <f t="shared" si="446"/>
        <v>0</v>
      </c>
      <c r="Q187" s="4">
        <f t="shared" si="446"/>
        <v>0</v>
      </c>
      <c r="R187" s="4">
        <f t="shared" si="446"/>
        <v>0</v>
      </c>
      <c r="S187" s="4">
        <f t="shared" si="446"/>
        <v>0</v>
      </c>
      <c r="T187" s="4">
        <f t="shared" si="446"/>
        <v>0</v>
      </c>
      <c r="U187" s="4">
        <f t="shared" si="446"/>
        <v>0</v>
      </c>
    </row>
    <row r="188" spans="1:36" ht="16.5" outlineLevel="1" x14ac:dyDescent="0.35">
      <c r="A188" s="30" t="s">
        <v>126</v>
      </c>
      <c r="B188" s="31" t="s">
        <v>125</v>
      </c>
      <c r="C188" s="226">
        <f t="shared" si="444"/>
        <v>0</v>
      </c>
      <c r="D188" s="226">
        <f t="shared" si="445"/>
        <v>0</v>
      </c>
      <c r="E188" s="46">
        <f>E189+E190</f>
        <v>0</v>
      </c>
      <c r="F188" s="64">
        <f>F189+F190</f>
        <v>0</v>
      </c>
      <c r="G188" s="64">
        <f>G189+G190</f>
        <v>0</v>
      </c>
      <c r="H188" s="46"/>
      <c r="I188" s="48">
        <f t="shared" ref="I188:U188" si="447">I189+I190</f>
        <v>0</v>
      </c>
      <c r="J188" s="12">
        <f t="shared" si="447"/>
        <v>0</v>
      </c>
      <c r="K188" s="12">
        <f t="shared" si="447"/>
        <v>0</v>
      </c>
      <c r="L188" s="12">
        <f t="shared" si="447"/>
        <v>0</v>
      </c>
      <c r="M188" s="12">
        <f t="shared" si="447"/>
        <v>0</v>
      </c>
      <c r="N188" s="12">
        <f t="shared" si="447"/>
        <v>0</v>
      </c>
      <c r="O188" s="12">
        <f t="shared" si="447"/>
        <v>0</v>
      </c>
      <c r="P188" s="12">
        <f t="shared" si="447"/>
        <v>0</v>
      </c>
      <c r="Q188" s="12">
        <f t="shared" si="447"/>
        <v>0</v>
      </c>
      <c r="R188" s="12">
        <f t="shared" si="447"/>
        <v>0</v>
      </c>
      <c r="S188" s="12">
        <f t="shared" si="447"/>
        <v>0</v>
      </c>
      <c r="T188" s="12">
        <f t="shared" si="447"/>
        <v>0</v>
      </c>
      <c r="U188" s="12">
        <f t="shared" si="447"/>
        <v>0</v>
      </c>
    </row>
    <row r="189" spans="1:36" ht="16.5" outlineLevel="1" x14ac:dyDescent="0.35">
      <c r="A189" s="30" t="s">
        <v>127</v>
      </c>
      <c r="B189" s="31" t="s">
        <v>125</v>
      </c>
      <c r="C189" s="226">
        <f t="shared" si="444"/>
        <v>0</v>
      </c>
      <c r="D189" s="226">
        <f t="shared" si="445"/>
        <v>0</v>
      </c>
      <c r="E189" s="46">
        <f>ABS(SUMIFS(SM!F:F,SM!$C:$C,"ERA",SM!$D:$D,$E185))</f>
        <v>0</v>
      </c>
      <c r="F189" s="46">
        <f>ABS(SUMIFS(SM!G:G,SM!$C:$C,"ERA",SM!$D:$D,$E185))</f>
        <v>0</v>
      </c>
      <c r="G189" s="46">
        <f>ABS(SUMIFS(SM!H:H,SM!$C:$C,"ERA",SM!$D:$D,$E185))</f>
        <v>0</v>
      </c>
      <c r="H189" s="64"/>
      <c r="I189" s="47">
        <f t="shared" ref="I189:U189" si="448">I194*I195/1000*365</f>
        <v>0</v>
      </c>
      <c r="J189" s="4">
        <f t="shared" si="448"/>
        <v>0</v>
      </c>
      <c r="K189" s="4">
        <f t="shared" si="448"/>
        <v>0</v>
      </c>
      <c r="L189" s="4">
        <f t="shared" si="448"/>
        <v>0</v>
      </c>
      <c r="M189" s="4">
        <f t="shared" si="448"/>
        <v>0</v>
      </c>
      <c r="N189" s="4">
        <f t="shared" si="448"/>
        <v>0</v>
      </c>
      <c r="O189" s="4">
        <f t="shared" si="448"/>
        <v>0</v>
      </c>
      <c r="P189" s="4">
        <f t="shared" si="448"/>
        <v>0</v>
      </c>
      <c r="Q189" s="4">
        <f t="shared" si="448"/>
        <v>0</v>
      </c>
      <c r="R189" s="4">
        <f t="shared" si="448"/>
        <v>0</v>
      </c>
      <c r="S189" s="4">
        <f t="shared" si="448"/>
        <v>0</v>
      </c>
      <c r="T189" s="4">
        <f t="shared" si="448"/>
        <v>0</v>
      </c>
      <c r="U189" s="4">
        <f t="shared" si="448"/>
        <v>0</v>
      </c>
    </row>
    <row r="190" spans="1:36" ht="16.5" outlineLevel="1" x14ac:dyDescent="0.35">
      <c r="A190" s="30" t="s">
        <v>497</v>
      </c>
      <c r="B190" s="31" t="s">
        <v>125</v>
      </c>
      <c r="C190" s="226">
        <f t="shared" si="444"/>
        <v>0</v>
      </c>
      <c r="D190" s="226">
        <f t="shared" si="445"/>
        <v>0</v>
      </c>
      <c r="E190" s="46">
        <f>ABS(SUMIFS(SM!F:F,SM!$C:$C,"JUR",SM!$D:$D,$E185))</f>
        <v>0</v>
      </c>
      <c r="F190" s="46">
        <f>ABS(SUMIFS(SM!G:G,SM!$C:$C,"JUR",SM!$D:$D,$E185))</f>
        <v>0</v>
      </c>
      <c r="G190" s="46">
        <f>ABS(SUMIFS(SM!H:H,SM!$C:$C,"JUR",SM!$D:$D,$E185))</f>
        <v>0</v>
      </c>
      <c r="H190" s="64"/>
      <c r="I190" s="61">
        <f>AVERAGE(E190:G190)</f>
        <v>0</v>
      </c>
      <c r="J190" s="4">
        <f t="shared" ref="J190:U190" si="449">I190</f>
        <v>0</v>
      </c>
      <c r="K190" s="4">
        <f t="shared" si="449"/>
        <v>0</v>
      </c>
      <c r="L190" s="4">
        <f t="shared" si="449"/>
        <v>0</v>
      </c>
      <c r="M190" s="4">
        <f t="shared" si="449"/>
        <v>0</v>
      </c>
      <c r="N190" s="4">
        <f t="shared" si="449"/>
        <v>0</v>
      </c>
      <c r="O190" s="4">
        <f t="shared" si="449"/>
        <v>0</v>
      </c>
      <c r="P190" s="4">
        <f t="shared" si="449"/>
        <v>0</v>
      </c>
      <c r="Q190" s="4">
        <f t="shared" si="449"/>
        <v>0</v>
      </c>
      <c r="R190" s="4">
        <f t="shared" si="449"/>
        <v>0</v>
      </c>
      <c r="S190" s="4">
        <f t="shared" si="449"/>
        <v>0</v>
      </c>
      <c r="T190" s="4">
        <f t="shared" si="449"/>
        <v>0</v>
      </c>
      <c r="U190" s="4">
        <f t="shared" si="449"/>
        <v>0</v>
      </c>
    </row>
    <row r="191" spans="1:36" s="7" customFormat="1" ht="16.5" outlineLevel="1" x14ac:dyDescent="0.35">
      <c r="A191" s="255" t="s">
        <v>524</v>
      </c>
      <c r="B191" s="256" t="s">
        <v>520</v>
      </c>
      <c r="C191" s="271">
        <f t="shared" si="444"/>
        <v>0</v>
      </c>
      <c r="D191" s="271">
        <f t="shared" si="445"/>
        <v>0</v>
      </c>
      <c r="E191" s="258">
        <f>ABS(SUMIFS(SM!F:F,SM!$C:$C,"OMA",SM!$D:$D,$E185))</f>
        <v>0</v>
      </c>
      <c r="F191" s="258">
        <f>ABS(SUMIFS(SM!G:G,SM!$C:$C,"OMA",SM!$D:$D,$E185))</f>
        <v>0</v>
      </c>
      <c r="G191" s="258">
        <f>ABS(SUMIFS(SM!H:H,SM!$C:$C,"OMA",SM!$D:$D,$E185))</f>
        <v>0</v>
      </c>
      <c r="H191" s="258"/>
      <c r="I191" s="275">
        <f>AVERAGE(F191:G191)</f>
        <v>0</v>
      </c>
      <c r="J191" s="259">
        <f t="shared" ref="J191:U191" si="450">I191</f>
        <v>0</v>
      </c>
      <c r="K191" s="259">
        <f t="shared" si="450"/>
        <v>0</v>
      </c>
      <c r="L191" s="259">
        <f t="shared" si="450"/>
        <v>0</v>
      </c>
      <c r="M191" s="259">
        <f t="shared" si="450"/>
        <v>0</v>
      </c>
      <c r="N191" s="259">
        <f t="shared" si="450"/>
        <v>0</v>
      </c>
      <c r="O191" s="259">
        <f t="shared" si="450"/>
        <v>0</v>
      </c>
      <c r="P191" s="259">
        <f t="shared" si="450"/>
        <v>0</v>
      </c>
      <c r="Q191" s="259">
        <f t="shared" si="450"/>
        <v>0</v>
      </c>
      <c r="R191" s="259">
        <f t="shared" si="450"/>
        <v>0</v>
      </c>
      <c r="S191" s="259">
        <f t="shared" si="450"/>
        <v>0</v>
      </c>
      <c r="T191" s="259">
        <f t="shared" si="450"/>
        <v>0</v>
      </c>
      <c r="U191" s="259">
        <f t="shared" si="450"/>
        <v>0</v>
      </c>
      <c r="W191" s="318"/>
      <c r="X191" s="332"/>
      <c r="Y191" s="332"/>
      <c r="Z191" s="332"/>
      <c r="AA191" s="332"/>
      <c r="AB191" s="332"/>
      <c r="AC191" s="332"/>
      <c r="AD191" s="332"/>
      <c r="AE191" s="332"/>
      <c r="AF191" s="332"/>
      <c r="AG191" s="332"/>
      <c r="AH191" s="332"/>
      <c r="AI191" s="332"/>
      <c r="AJ191" s="332"/>
    </row>
    <row r="192" spans="1:36" ht="16.5" outlineLevel="1" x14ac:dyDescent="0.35">
      <c r="A192" s="30" t="s">
        <v>130</v>
      </c>
      <c r="B192" s="31" t="s">
        <v>125</v>
      </c>
      <c r="C192" s="225">
        <f t="shared" si="444"/>
        <v>0</v>
      </c>
      <c r="D192" s="226">
        <f t="shared" si="445"/>
        <v>0</v>
      </c>
      <c r="E192" s="64">
        <f>E187-E188-E191</f>
        <v>0</v>
      </c>
      <c r="F192" s="64">
        <f>F187-F188-F191</f>
        <v>0</v>
      </c>
      <c r="G192" s="64">
        <f>G187-G188-G191</f>
        <v>0</v>
      </c>
      <c r="H192" s="64"/>
      <c r="I192" s="47">
        <f t="shared" ref="I192:U192" si="451">I193*I187</f>
        <v>0</v>
      </c>
      <c r="J192" s="4">
        <f t="shared" si="451"/>
        <v>0</v>
      </c>
      <c r="K192" s="4">
        <f t="shared" si="451"/>
        <v>0</v>
      </c>
      <c r="L192" s="4">
        <f t="shared" si="451"/>
        <v>0</v>
      </c>
      <c r="M192" s="4">
        <f t="shared" si="451"/>
        <v>0</v>
      </c>
      <c r="N192" s="4">
        <f t="shared" si="451"/>
        <v>0</v>
      </c>
      <c r="O192" s="4">
        <f t="shared" si="451"/>
        <v>0</v>
      </c>
      <c r="P192" s="4">
        <f t="shared" si="451"/>
        <v>0</v>
      </c>
      <c r="Q192" s="4">
        <f t="shared" si="451"/>
        <v>0</v>
      </c>
      <c r="R192" s="4">
        <f t="shared" si="451"/>
        <v>0</v>
      </c>
      <c r="S192" s="4">
        <f t="shared" si="451"/>
        <v>0</v>
      </c>
      <c r="T192" s="4">
        <f t="shared" si="451"/>
        <v>0</v>
      </c>
      <c r="U192" s="4">
        <f t="shared" si="451"/>
        <v>0</v>
      </c>
    </row>
    <row r="193" spans="1:36" outlineLevel="1" x14ac:dyDescent="0.35">
      <c r="A193" s="30" t="s">
        <v>130</v>
      </c>
      <c r="B193" s="31" t="s">
        <v>131</v>
      </c>
      <c r="C193" s="74" t="str">
        <f>G193</f>
        <v/>
      </c>
      <c r="D193" s="54">
        <f>U193</f>
        <v>0</v>
      </c>
      <c r="E193" s="212" t="str">
        <f>IFERROR(E192/E187,"")</f>
        <v/>
      </c>
      <c r="F193" s="212" t="str">
        <f>IFERROR(F192/F187,"")</f>
        <v/>
      </c>
      <c r="G193" s="212" t="str">
        <f>IFERROR(G192/G187,"")</f>
        <v/>
      </c>
      <c r="H193" s="49"/>
      <c r="I193" s="227">
        <f>IFERROR(AVERAGE(E193:G193),0)</f>
        <v>0</v>
      </c>
      <c r="J193" s="38">
        <f t="shared" ref="J193:U193" si="452">I193</f>
        <v>0</v>
      </c>
      <c r="K193" s="38">
        <f t="shared" si="452"/>
        <v>0</v>
      </c>
      <c r="L193" s="38">
        <f t="shared" si="452"/>
        <v>0</v>
      </c>
      <c r="M193" s="38">
        <f t="shared" si="452"/>
        <v>0</v>
      </c>
      <c r="N193" s="38">
        <f t="shared" si="452"/>
        <v>0</v>
      </c>
      <c r="O193" s="38">
        <f t="shared" si="452"/>
        <v>0</v>
      </c>
      <c r="P193" s="38">
        <f t="shared" si="452"/>
        <v>0</v>
      </c>
      <c r="Q193" s="38">
        <f t="shared" si="452"/>
        <v>0</v>
      </c>
      <c r="R193" s="38">
        <f t="shared" si="452"/>
        <v>0</v>
      </c>
      <c r="S193" s="38">
        <f t="shared" si="452"/>
        <v>0</v>
      </c>
      <c r="T193" s="38">
        <f t="shared" si="452"/>
        <v>0</v>
      </c>
      <c r="U193" s="38">
        <f t="shared" si="452"/>
        <v>0</v>
      </c>
      <c r="W193" s="319"/>
      <c r="X193" s="333"/>
      <c r="Y193" s="333"/>
      <c r="Z193" s="333"/>
      <c r="AA193" s="333"/>
      <c r="AB193" s="333"/>
      <c r="AC193" s="333"/>
      <c r="AD193" s="333"/>
      <c r="AE193" s="333"/>
      <c r="AF193" s="333"/>
      <c r="AG193" s="333"/>
      <c r="AH193" s="333"/>
      <c r="AI193" s="333"/>
      <c r="AJ193" s="333"/>
    </row>
    <row r="194" spans="1:36" outlineLevel="1" x14ac:dyDescent="0.35">
      <c r="A194" s="30" t="s">
        <v>128</v>
      </c>
      <c r="B194" s="31" t="s">
        <v>129</v>
      </c>
      <c r="C194" s="53">
        <f>G194</f>
        <v>0</v>
      </c>
      <c r="D194" s="53">
        <f>U194</f>
        <v>0</v>
      </c>
      <c r="E194" s="46">
        <f>IFERROR(E189/E195/365*1000,0)</f>
        <v>0</v>
      </c>
      <c r="F194" s="46">
        <f>IFERROR(F189/F195/365*1000,0)</f>
        <v>0</v>
      </c>
      <c r="G194" s="46">
        <f>IFERROR(G189/G195/365*1000,0)</f>
        <v>0</v>
      </c>
      <c r="H194" s="46"/>
      <c r="I194" s="76">
        <f>G194</f>
        <v>0</v>
      </c>
      <c r="J194" s="4">
        <f t="shared" ref="J194:U194" si="453">I194</f>
        <v>0</v>
      </c>
      <c r="K194" s="4">
        <f t="shared" si="453"/>
        <v>0</v>
      </c>
      <c r="L194" s="4">
        <f t="shared" si="453"/>
        <v>0</v>
      </c>
      <c r="M194" s="4">
        <f t="shared" si="453"/>
        <v>0</v>
      </c>
      <c r="N194" s="4">
        <f t="shared" si="453"/>
        <v>0</v>
      </c>
      <c r="O194" s="4">
        <f t="shared" si="453"/>
        <v>0</v>
      </c>
      <c r="P194" s="4">
        <f t="shared" si="453"/>
        <v>0</v>
      </c>
      <c r="Q194" s="4">
        <f t="shared" si="453"/>
        <v>0</v>
      </c>
      <c r="R194" s="4">
        <f t="shared" si="453"/>
        <v>0</v>
      </c>
      <c r="S194" s="4">
        <f t="shared" si="453"/>
        <v>0</v>
      </c>
      <c r="T194" s="4">
        <f t="shared" si="453"/>
        <v>0</v>
      </c>
      <c r="U194" s="4">
        <f t="shared" si="453"/>
        <v>0</v>
      </c>
    </row>
    <row r="195" spans="1:36" outlineLevel="1" x14ac:dyDescent="0.35">
      <c r="A195" s="77" t="s">
        <v>136</v>
      </c>
      <c r="B195" s="78" t="s">
        <v>137</v>
      </c>
      <c r="C195" s="355">
        <f>G195</f>
        <v>0</v>
      </c>
      <c r="D195" s="355">
        <f>U195</f>
        <v>0</v>
      </c>
      <c r="E195" s="213">
        <f>VLOOKUP($A185,Elanikud!$A$1:$S$20,Elanikud!B$21,FALSE)</f>
        <v>0</v>
      </c>
      <c r="F195" s="213">
        <f>VLOOKUP($A185,Elanikud!$A$1:$S$20,Elanikud!C$21,FALSE)</f>
        <v>0</v>
      </c>
      <c r="G195" s="213">
        <f>VLOOKUP($A185,Elanikud!$A$1:$S$20,Elanikud!D$21,FALSE)</f>
        <v>0</v>
      </c>
      <c r="H195" s="213">
        <f>VLOOKUP($A185,Elanikud!$A$1:$S$20,Elanikud!E$21,FALSE)</f>
        <v>0</v>
      </c>
      <c r="I195" s="62">
        <f>VLOOKUP($A185,Elanikud!$A$1:$S$20,Elanikud!E$21,FALSE)</f>
        <v>0</v>
      </c>
      <c r="J195" s="241">
        <f>VLOOKUP($A185,Elanikud!$A$1:$S$20,Elanikud!F$21,FALSE)</f>
        <v>0</v>
      </c>
      <c r="K195" s="241">
        <f>VLOOKUP($A185,Elanikud!$A$1:$S$20,Elanikud!G$21,FALSE)</f>
        <v>0</v>
      </c>
      <c r="L195" s="241">
        <f>VLOOKUP($A185,Elanikud!$A$1:$S$20,Elanikud!H$21,FALSE)</f>
        <v>0</v>
      </c>
      <c r="M195" s="241">
        <f>VLOOKUP($A185,Elanikud!$A$1:$S$20,Elanikud!I$21,FALSE)</f>
        <v>0</v>
      </c>
      <c r="N195" s="241">
        <f>VLOOKUP($A185,Elanikud!$A$1:$S$20,Elanikud!J$21,FALSE)</f>
        <v>0</v>
      </c>
      <c r="O195" s="241">
        <f>VLOOKUP($A185,Elanikud!$A$1:$S$20,Elanikud!K$21,FALSE)</f>
        <v>0</v>
      </c>
      <c r="P195" s="241">
        <f>VLOOKUP($A185,Elanikud!$A$1:$S$20,Elanikud!L$21,FALSE)</f>
        <v>0</v>
      </c>
      <c r="Q195" s="241">
        <f>VLOOKUP($A185,Elanikud!$A$1:$S$20,Elanikud!M$21,FALSE)</f>
        <v>0</v>
      </c>
      <c r="R195" s="241">
        <f>VLOOKUP($A185,Elanikud!$A$1:$S$20,Elanikud!N$21,FALSE)</f>
        <v>0</v>
      </c>
      <c r="S195" s="241">
        <f>VLOOKUP($A185,Elanikud!$A$1:$S$20,Elanikud!O$21,FALSE)</f>
        <v>0</v>
      </c>
      <c r="T195" s="241">
        <f>VLOOKUP($A185,Elanikud!$A$1:$S$20,Elanikud!P$21,FALSE)</f>
        <v>0</v>
      </c>
      <c r="U195" s="241">
        <f>VLOOKUP($A185,Elanikud!$A$1:$S$20,Elanikud!Q$21,FALSE)</f>
        <v>0</v>
      </c>
    </row>
    <row r="196" spans="1:36" outlineLevel="1" x14ac:dyDescent="0.35">
      <c r="A196" s="35" t="s">
        <v>43</v>
      </c>
      <c r="B196" s="33"/>
      <c r="C196" s="33"/>
      <c r="D196" s="33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W196" s="319"/>
      <c r="X196" s="333"/>
      <c r="Y196" s="333"/>
      <c r="Z196" s="333"/>
      <c r="AA196" s="333"/>
      <c r="AB196" s="333"/>
      <c r="AC196" s="333"/>
      <c r="AD196" s="333"/>
      <c r="AE196" s="333"/>
      <c r="AF196" s="333"/>
      <c r="AG196" s="333"/>
      <c r="AH196" s="333"/>
      <c r="AI196" s="333"/>
      <c r="AJ196" s="333"/>
    </row>
    <row r="197" spans="1:36" ht="16.5" outlineLevel="1" x14ac:dyDescent="0.35">
      <c r="A197" s="30" t="s">
        <v>132</v>
      </c>
      <c r="B197" s="31" t="s">
        <v>125</v>
      </c>
      <c r="C197" s="53">
        <f t="shared" ref="C197:C202" si="454">G197/365</f>
        <v>0</v>
      </c>
      <c r="D197" s="53">
        <f t="shared" ref="D197:D202" si="455">U197/365</f>
        <v>0</v>
      </c>
      <c r="E197" s="71">
        <f>ABS(SUMIFS(SM!I:I,SM!$C:$C,"too",SM!$D:$D,$E185))+E202</f>
        <v>0</v>
      </c>
      <c r="F197" s="71">
        <f>ABS(SUMIFS(SM!J:J,SM!$C:$C,"too",SM!$D:$D,$E185))+F202</f>
        <v>0</v>
      </c>
      <c r="G197" s="71">
        <f>ABS(SUMIFS(SM!K:K,SM!$C:$C,"too",SM!$D:$D,$E185))+G202</f>
        <v>0</v>
      </c>
      <c r="H197" s="45"/>
      <c r="I197" s="47">
        <f>(I198+I201)/(100%-I203)</f>
        <v>0</v>
      </c>
      <c r="J197" s="4">
        <f t="shared" ref="J197" si="456">(J198+J201)/(100%-J203)</f>
        <v>0</v>
      </c>
      <c r="K197" s="4">
        <f t="shared" ref="K197" si="457">(K198+K201)/(100%-K203)</f>
        <v>0</v>
      </c>
      <c r="L197" s="4">
        <f t="shared" ref="L197" si="458">(L198+L201)/(100%-L203)</f>
        <v>0</v>
      </c>
      <c r="M197" s="4">
        <f t="shared" ref="M197" si="459">(M198+M201)/(100%-M203)</f>
        <v>0</v>
      </c>
      <c r="N197" s="4">
        <f t="shared" ref="N197" si="460">(N198+N201)/(100%-N203)</f>
        <v>0</v>
      </c>
      <c r="O197" s="4">
        <f t="shared" ref="O197" si="461">(O198+O201)/(100%-O203)</f>
        <v>0</v>
      </c>
      <c r="P197" s="4">
        <f t="shared" ref="P197" si="462">(P198+P201)/(100%-P203)</f>
        <v>0</v>
      </c>
      <c r="Q197" s="4">
        <f t="shared" ref="Q197" si="463">(Q198+Q201)/(100%-Q203)</f>
        <v>0</v>
      </c>
      <c r="R197" s="4">
        <f t="shared" ref="R197" si="464">(R198+R201)/(100%-R203)</f>
        <v>0</v>
      </c>
      <c r="S197" s="4">
        <f t="shared" ref="S197" si="465">(S198+S201)/(100%-S203)</f>
        <v>0</v>
      </c>
      <c r="T197" s="4">
        <f t="shared" ref="T197" si="466">(T198+T201)/(100%-T203)</f>
        <v>0</v>
      </c>
      <c r="U197" s="4">
        <f t="shared" ref="U197" si="467">(U198+U201)/(100%-U203)</f>
        <v>0</v>
      </c>
      <c r="Z197" s="337"/>
      <c r="AA197" s="337"/>
      <c r="AB197" s="337"/>
      <c r="AC197" s="337"/>
      <c r="AD197" s="337"/>
      <c r="AE197" s="337"/>
      <c r="AF197" s="337"/>
      <c r="AG197" s="337"/>
      <c r="AH197" s="337"/>
      <c r="AI197" s="337"/>
      <c r="AJ197" s="337"/>
    </row>
    <row r="198" spans="1:36" ht="16.5" outlineLevel="1" x14ac:dyDescent="0.35">
      <c r="A198" s="30" t="s">
        <v>133</v>
      </c>
      <c r="B198" s="31" t="s">
        <v>125</v>
      </c>
      <c r="C198" s="53">
        <f t="shared" si="454"/>
        <v>0</v>
      </c>
      <c r="D198" s="53">
        <f t="shared" si="455"/>
        <v>0</v>
      </c>
      <c r="E198" s="71">
        <f>E199+E200</f>
        <v>0</v>
      </c>
      <c r="F198" s="71">
        <f>F199+F200</f>
        <v>0</v>
      </c>
      <c r="G198" s="71">
        <f>G199+G200</f>
        <v>0</v>
      </c>
      <c r="H198" s="45"/>
      <c r="I198" s="48">
        <f t="shared" ref="I198" si="468">I199+I200</f>
        <v>0</v>
      </c>
      <c r="J198" s="12">
        <f t="shared" ref="J198" si="469">J199+J200</f>
        <v>0</v>
      </c>
      <c r="K198" s="12">
        <f t="shared" ref="K198" si="470">K199+K200</f>
        <v>0</v>
      </c>
      <c r="L198" s="12">
        <f t="shared" ref="L198" si="471">L199+L200</f>
        <v>0</v>
      </c>
      <c r="M198" s="12">
        <f t="shared" ref="M198" si="472">M199+M200</f>
        <v>0</v>
      </c>
      <c r="N198" s="12">
        <f t="shared" ref="N198" si="473">N199+N200</f>
        <v>0</v>
      </c>
      <c r="O198" s="12">
        <f t="shared" ref="O198" si="474">O199+O200</f>
        <v>0</v>
      </c>
      <c r="P198" s="12">
        <f t="shared" ref="P198" si="475">P199+P200</f>
        <v>0</v>
      </c>
      <c r="Q198" s="12">
        <f t="shared" ref="Q198" si="476">Q199+Q200</f>
        <v>0</v>
      </c>
      <c r="R198" s="12">
        <f t="shared" ref="R198" si="477">R199+R200</f>
        <v>0</v>
      </c>
      <c r="S198" s="12">
        <f t="shared" ref="S198" si="478">S199+S200</f>
        <v>0</v>
      </c>
      <c r="T198" s="12">
        <f t="shared" ref="T198" si="479">T199+T200</f>
        <v>0</v>
      </c>
      <c r="U198" s="12">
        <f t="shared" ref="U198" si="480">U199+U200</f>
        <v>0</v>
      </c>
    </row>
    <row r="199" spans="1:36" ht="16.5" outlineLevel="1" x14ac:dyDescent="0.35">
      <c r="A199" s="30" t="s">
        <v>134</v>
      </c>
      <c r="B199" s="31" t="s">
        <v>125</v>
      </c>
      <c r="C199" s="53">
        <f t="shared" si="454"/>
        <v>0</v>
      </c>
      <c r="D199" s="53">
        <f t="shared" si="455"/>
        <v>0</v>
      </c>
      <c r="E199" s="45">
        <f>ABS(SUMIFS(SM!I:I,SM!$C:$C,"era",SM!$D:$D,$E185))</f>
        <v>0</v>
      </c>
      <c r="F199" s="45">
        <f>ABS(SUMIFS(SM!J:J,SM!$C:$C,"era",SM!$D:$D,$E185))</f>
        <v>0</v>
      </c>
      <c r="G199" s="45">
        <f>ABS(SUMIFS(SM!K:K,SM!$C:$C,"era",SM!$D:$D,$E185))</f>
        <v>0</v>
      </c>
      <c r="H199" s="71"/>
      <c r="I199" s="47">
        <f t="shared" ref="I199:U199" si="481">I205*I204*365/1000</f>
        <v>0</v>
      </c>
      <c r="J199" s="4">
        <f t="shared" si="481"/>
        <v>0</v>
      </c>
      <c r="K199" s="4">
        <f t="shared" si="481"/>
        <v>0</v>
      </c>
      <c r="L199" s="4">
        <f t="shared" si="481"/>
        <v>0</v>
      </c>
      <c r="M199" s="4">
        <f t="shared" si="481"/>
        <v>0</v>
      </c>
      <c r="N199" s="4">
        <f t="shared" si="481"/>
        <v>0</v>
      </c>
      <c r="O199" s="4">
        <f t="shared" si="481"/>
        <v>0</v>
      </c>
      <c r="P199" s="4">
        <f t="shared" si="481"/>
        <v>0</v>
      </c>
      <c r="Q199" s="4">
        <f t="shared" si="481"/>
        <v>0</v>
      </c>
      <c r="R199" s="4">
        <f t="shared" si="481"/>
        <v>0</v>
      </c>
      <c r="S199" s="4">
        <f t="shared" si="481"/>
        <v>0</v>
      </c>
      <c r="T199" s="4">
        <f t="shared" si="481"/>
        <v>0</v>
      </c>
      <c r="U199" s="4">
        <f t="shared" si="481"/>
        <v>0</v>
      </c>
    </row>
    <row r="200" spans="1:36" ht="16.5" outlineLevel="1" x14ac:dyDescent="0.35">
      <c r="A200" s="30" t="s">
        <v>498</v>
      </c>
      <c r="B200" s="31" t="s">
        <v>125</v>
      </c>
      <c r="C200" s="53">
        <f t="shared" si="454"/>
        <v>0</v>
      </c>
      <c r="D200" s="53">
        <f t="shared" si="455"/>
        <v>0</v>
      </c>
      <c r="E200" s="45">
        <f>ABS(SUMIFS(SM!I:I,SM!$C:$C,"jur",SM!$D:$D,$E185))</f>
        <v>0</v>
      </c>
      <c r="F200" s="45">
        <f>ABS(SUMIFS(SM!J:J,SM!$C:$C,"jur",SM!$D:$D,$E185))</f>
        <v>0</v>
      </c>
      <c r="G200" s="45">
        <f>ABS(SUMIFS(SM!K:K,SM!$C:$C,"jur",SM!$D:$D,$E185))</f>
        <v>0</v>
      </c>
      <c r="H200" s="71"/>
      <c r="I200" s="76">
        <f>G200</f>
        <v>0</v>
      </c>
      <c r="J200" s="4">
        <f t="shared" ref="J200:U200" si="482">I200</f>
        <v>0</v>
      </c>
      <c r="K200" s="4">
        <f t="shared" si="482"/>
        <v>0</v>
      </c>
      <c r="L200" s="4">
        <f t="shared" si="482"/>
        <v>0</v>
      </c>
      <c r="M200" s="4">
        <f t="shared" si="482"/>
        <v>0</v>
      </c>
      <c r="N200" s="4">
        <f t="shared" si="482"/>
        <v>0</v>
      </c>
      <c r="O200" s="4">
        <f t="shared" si="482"/>
        <v>0</v>
      </c>
      <c r="P200" s="4">
        <f t="shared" si="482"/>
        <v>0</v>
      </c>
      <c r="Q200" s="4">
        <f t="shared" si="482"/>
        <v>0</v>
      </c>
      <c r="R200" s="4">
        <f t="shared" si="482"/>
        <v>0</v>
      </c>
      <c r="S200" s="4">
        <f t="shared" si="482"/>
        <v>0</v>
      </c>
      <c r="T200" s="4">
        <f t="shared" si="482"/>
        <v>0</v>
      </c>
      <c r="U200" s="4">
        <f t="shared" si="482"/>
        <v>0</v>
      </c>
    </row>
    <row r="201" spans="1:36" s="70" customFormat="1" outlineLevel="1" x14ac:dyDescent="0.35">
      <c r="A201" s="260" t="s">
        <v>525</v>
      </c>
      <c r="B201" s="261" t="s">
        <v>521</v>
      </c>
      <c r="C201" s="262">
        <f t="shared" si="454"/>
        <v>0</v>
      </c>
      <c r="D201" s="262">
        <f t="shared" si="455"/>
        <v>0</v>
      </c>
      <c r="E201" s="263">
        <f>ABS(SUMIFS(SM!I:I,SM!$C:$C,"OMA",SM!$D:$D,$E185))</f>
        <v>0</v>
      </c>
      <c r="F201" s="263">
        <f>ABS(SUMIFS(SM!J:J,SM!$C:$C,"OMA",SM!$D:$D,$E185))</f>
        <v>0</v>
      </c>
      <c r="G201" s="263">
        <f>ABS(SUMIFS(SM!K:K,SM!$C:$C,"OMA",SM!$D:$D,$E185))</f>
        <v>0</v>
      </c>
      <c r="H201" s="263"/>
      <c r="I201" s="276">
        <f>IFERROR(AVERAGE(E201:G201),0)</f>
        <v>0</v>
      </c>
      <c r="J201" s="264">
        <f t="shared" ref="J201:U201" si="483">I201</f>
        <v>0</v>
      </c>
      <c r="K201" s="264">
        <f t="shared" si="483"/>
        <v>0</v>
      </c>
      <c r="L201" s="264">
        <f t="shared" si="483"/>
        <v>0</v>
      </c>
      <c r="M201" s="264">
        <f t="shared" si="483"/>
        <v>0</v>
      </c>
      <c r="N201" s="264">
        <f t="shared" si="483"/>
        <v>0</v>
      </c>
      <c r="O201" s="264">
        <f t="shared" si="483"/>
        <v>0</v>
      </c>
      <c r="P201" s="264">
        <f t="shared" si="483"/>
        <v>0</v>
      </c>
      <c r="Q201" s="264">
        <f t="shared" si="483"/>
        <v>0</v>
      </c>
      <c r="R201" s="264">
        <f t="shared" si="483"/>
        <v>0</v>
      </c>
      <c r="S201" s="264">
        <f t="shared" si="483"/>
        <v>0</v>
      </c>
      <c r="T201" s="264">
        <f t="shared" si="483"/>
        <v>0</v>
      </c>
      <c r="U201" s="264">
        <f t="shared" si="483"/>
        <v>0</v>
      </c>
      <c r="W201" s="318"/>
      <c r="X201" s="332"/>
      <c r="Y201" s="332"/>
      <c r="Z201" s="332"/>
      <c r="AA201" s="332"/>
      <c r="AB201" s="332"/>
      <c r="AC201" s="332"/>
      <c r="AD201" s="332"/>
      <c r="AE201" s="332"/>
      <c r="AF201" s="332"/>
      <c r="AG201" s="332"/>
      <c r="AH201" s="332"/>
      <c r="AI201" s="332"/>
      <c r="AJ201" s="332"/>
    </row>
    <row r="202" spans="1:36" ht="16.5" outlineLevel="1" x14ac:dyDescent="0.35">
      <c r="A202" s="30" t="s">
        <v>135</v>
      </c>
      <c r="B202" s="31" t="s">
        <v>125</v>
      </c>
      <c r="C202" s="53">
        <f t="shared" si="454"/>
        <v>0</v>
      </c>
      <c r="D202" s="53">
        <f t="shared" si="455"/>
        <v>0</v>
      </c>
      <c r="E202" s="71">
        <f>ABS(SUMIFS(SM!I:I,SM!$C:$C,"KAD",SM!$D:$D,$E185))</f>
        <v>0</v>
      </c>
      <c r="F202" s="71">
        <f>ABS(SUMIFS(SM!J:J,SM!$C:$C,"KAD",SM!$D:$D,$E185))</f>
        <v>0</v>
      </c>
      <c r="G202" s="71">
        <f>ABS(SUMIFS(SM!K:K,SM!$C:$C,"KAD",SM!$D:$D,$E185))</f>
        <v>0</v>
      </c>
      <c r="H202" s="45"/>
      <c r="I202" s="47">
        <f>I203*I197</f>
        <v>0</v>
      </c>
      <c r="J202" s="4">
        <f t="shared" ref="J202" si="484">J203*J197</f>
        <v>0</v>
      </c>
      <c r="K202" s="4">
        <f t="shared" ref="K202" si="485">K203*K197</f>
        <v>0</v>
      </c>
      <c r="L202" s="4">
        <f t="shared" ref="L202" si="486">L203*L197</f>
        <v>0</v>
      </c>
      <c r="M202" s="4">
        <f t="shared" ref="M202" si="487">M203*M197</f>
        <v>0</v>
      </c>
      <c r="N202" s="4">
        <f t="shared" ref="N202" si="488">N203*N197</f>
        <v>0</v>
      </c>
      <c r="O202" s="4">
        <f t="shared" ref="O202" si="489">O203*O197</f>
        <v>0</v>
      </c>
      <c r="P202" s="4">
        <f t="shared" ref="P202" si="490">P203*P197</f>
        <v>0</v>
      </c>
      <c r="Q202" s="4">
        <f t="shared" ref="Q202" si="491">Q203*Q197</f>
        <v>0</v>
      </c>
      <c r="R202" s="4">
        <f t="shared" ref="R202" si="492">R203*R197</f>
        <v>0</v>
      </c>
      <c r="S202" s="4">
        <f t="shared" ref="S202" si="493">S203*S197</f>
        <v>0</v>
      </c>
      <c r="T202" s="4">
        <f t="shared" ref="T202" si="494">T203*T197</f>
        <v>0</v>
      </c>
      <c r="U202" s="4">
        <f t="shared" ref="U202" si="495">U203*U197</f>
        <v>0</v>
      </c>
    </row>
    <row r="203" spans="1:36" outlineLevel="1" x14ac:dyDescent="0.35">
      <c r="A203" s="30" t="s">
        <v>135</v>
      </c>
      <c r="B203" s="31" t="s">
        <v>131</v>
      </c>
      <c r="C203" s="73" t="str">
        <f>G203</f>
        <v/>
      </c>
      <c r="D203" s="54">
        <f>U203</f>
        <v>0</v>
      </c>
      <c r="E203" s="50" t="str">
        <f>IFERROR(E202/E197,"")</f>
        <v/>
      </c>
      <c r="F203" s="50" t="str">
        <f>IFERROR(F202/F197,"")</f>
        <v/>
      </c>
      <c r="G203" s="50" t="str">
        <f>IFERROR(G202/G197,"")</f>
        <v/>
      </c>
      <c r="H203" s="50" t="str">
        <f>IFERROR(H202/H197,"")</f>
        <v/>
      </c>
      <c r="I203" s="186">
        <v>0</v>
      </c>
      <c r="J203" s="38">
        <f t="shared" ref="J203:U203" si="496">I203</f>
        <v>0</v>
      </c>
      <c r="K203" s="38">
        <f t="shared" si="496"/>
        <v>0</v>
      </c>
      <c r="L203" s="38">
        <f t="shared" si="496"/>
        <v>0</v>
      </c>
      <c r="M203" s="38">
        <f t="shared" si="496"/>
        <v>0</v>
      </c>
      <c r="N203" s="38">
        <f t="shared" si="496"/>
        <v>0</v>
      </c>
      <c r="O203" s="38">
        <f t="shared" si="496"/>
        <v>0</v>
      </c>
      <c r="P203" s="38">
        <f t="shared" si="496"/>
        <v>0</v>
      </c>
      <c r="Q203" s="38">
        <f t="shared" si="496"/>
        <v>0</v>
      </c>
      <c r="R203" s="38">
        <f t="shared" si="496"/>
        <v>0</v>
      </c>
      <c r="S203" s="38">
        <f t="shared" si="496"/>
        <v>0</v>
      </c>
      <c r="T203" s="38">
        <f t="shared" si="496"/>
        <v>0</v>
      </c>
      <c r="U203" s="38">
        <f t="shared" si="496"/>
        <v>0</v>
      </c>
    </row>
    <row r="204" spans="1:36" s="70" customFormat="1" outlineLevel="1" x14ac:dyDescent="0.35">
      <c r="A204" s="181" t="s">
        <v>128</v>
      </c>
      <c r="B204" s="182" t="s">
        <v>129</v>
      </c>
      <c r="C204" s="211">
        <f>G204</f>
        <v>0</v>
      </c>
      <c r="D204" s="211">
        <f>U204</f>
        <v>0</v>
      </c>
      <c r="E204" s="71">
        <f>IFERROR(E199/E205/365*1000,0)</f>
        <v>0</v>
      </c>
      <c r="F204" s="71">
        <f>IFERROR(F199/F205/365*1000,0)</f>
        <v>0</v>
      </c>
      <c r="G204" s="71">
        <f>IFERROR(G199/G205/365*1000,0)</f>
        <v>0</v>
      </c>
      <c r="H204" s="71"/>
      <c r="I204" s="76">
        <f>G204</f>
        <v>0</v>
      </c>
      <c r="J204" s="4">
        <f>IF(I204=0,0,IF(I204&gt;Veehind!$B$16,I204,I204+(Veehind!$B$16-$I204)/12))</f>
        <v>0</v>
      </c>
      <c r="K204" s="4">
        <f>IF(J204=0,0,IF(J204&gt;Veehind!$B$16,J204,J204+(Veehind!$B$16-$I204)/12))</f>
        <v>0</v>
      </c>
      <c r="L204" s="4">
        <f>IF(K204=0,0,IF(K204&gt;Veehind!$B$16,K204,K204+(Veehind!$B$16-$I204)/12))</f>
        <v>0</v>
      </c>
      <c r="M204" s="4">
        <f>IF(L204=0,0,IF(L204&gt;Veehind!$B$16,L204,L204+(Veehind!$B$16-$I204)/12))</f>
        <v>0</v>
      </c>
      <c r="N204" s="4">
        <f>IF(M204=0,0,IF(M204&gt;Veehind!$B$16,M204,M204+(Veehind!$B$16-$I204)/12))</f>
        <v>0</v>
      </c>
      <c r="O204" s="4">
        <f>IF(N204=0,0,IF(N204&gt;Veehind!$B$16,N204,N204+(Veehind!$B$16-$I204)/12))</f>
        <v>0</v>
      </c>
      <c r="P204" s="4">
        <f>IF(O204=0,0,IF(O204&gt;Veehind!$B$16,O204,O204+(Veehind!$B$16-$I204)/12))</f>
        <v>0</v>
      </c>
      <c r="Q204" s="4">
        <f>IF(P204=0,0,IF(P204&gt;Veehind!$B$16,P204,P204+(Veehind!$B$16-$I204)/12))</f>
        <v>0</v>
      </c>
      <c r="R204" s="4">
        <f>IF(Q204=0,0,IF(Q204&gt;Veehind!$B$16,Q204,Q204+(Veehind!$B$16-$I204)/12))</f>
        <v>0</v>
      </c>
      <c r="S204" s="4">
        <f>IF(R204=0,0,IF(R204&gt;Veehind!$B$16,R204,R204+(Veehind!$B$16-$I204)/12))</f>
        <v>0</v>
      </c>
      <c r="T204" s="4">
        <f>IF(S204=0,0,IF(S204&gt;Veehind!$B$16,S204,S204+(Veehind!$B$16-$I204)/12))</f>
        <v>0</v>
      </c>
      <c r="U204" s="4">
        <f>IF(T204=0,0,IF(T204&gt;Veehind!$B$16,T204,T204+(Veehind!$B$16-$I204)/12))</f>
        <v>0</v>
      </c>
      <c r="W204" s="320"/>
      <c r="X204" s="334"/>
      <c r="Y204" s="334"/>
      <c r="Z204" s="334"/>
      <c r="AA204" s="334"/>
      <c r="AB204" s="334"/>
      <c r="AC204" s="334"/>
      <c r="AD204" s="334"/>
      <c r="AE204" s="334"/>
      <c r="AF204" s="334"/>
      <c r="AG204" s="334"/>
      <c r="AH204" s="334"/>
      <c r="AI204" s="334"/>
      <c r="AJ204" s="334"/>
    </row>
    <row r="205" spans="1:36" s="37" customFormat="1" outlineLevel="1" x14ac:dyDescent="0.35">
      <c r="A205" s="77" t="s">
        <v>136</v>
      </c>
      <c r="B205" s="78" t="s">
        <v>137</v>
      </c>
      <c r="C205" s="355">
        <f>G205</f>
        <v>0</v>
      </c>
      <c r="D205" s="355">
        <f>U205</f>
        <v>0</v>
      </c>
      <c r="E205" s="215">
        <f>VLOOKUP($A185,Elanikud!$A$22:$S$41,Elanikud!B$21,FALSE)</f>
        <v>0</v>
      </c>
      <c r="F205" s="215">
        <f>VLOOKUP($A185,Elanikud!$A$22:$S$41,Elanikud!C$21,FALSE)</f>
        <v>0</v>
      </c>
      <c r="G205" s="215">
        <f>VLOOKUP($A185,Elanikud!$A$22:$S$41,Elanikud!D$21,FALSE)</f>
        <v>0</v>
      </c>
      <c r="H205" s="215">
        <f>VLOOKUP($A185,Elanikud!$A$22:$S$41,Elanikud!E$21,FALSE)</f>
        <v>0</v>
      </c>
      <c r="I205" s="62">
        <f>VLOOKUP($A185,Elanikud!$A$22:$S$41,Elanikud!E$21,FALSE)</f>
        <v>0</v>
      </c>
      <c r="J205" s="241">
        <f>VLOOKUP($A185,Elanikud!$A$22:$S$41,Elanikud!F$21,FALSE)</f>
        <v>0</v>
      </c>
      <c r="K205" s="241">
        <f>VLOOKUP($A185,Elanikud!$A$22:$S$41,Elanikud!G$21,FALSE)</f>
        <v>0</v>
      </c>
      <c r="L205" s="241">
        <f>VLOOKUP($A185,Elanikud!$A$22:$S$41,Elanikud!H$21,FALSE)</f>
        <v>0</v>
      </c>
      <c r="M205" s="241">
        <f>VLOOKUP($A185,Elanikud!$A$22:$S$41,Elanikud!I$21,FALSE)</f>
        <v>0</v>
      </c>
      <c r="N205" s="241">
        <f>VLOOKUP($A185,Elanikud!$A$22:$S$41,Elanikud!J$21,FALSE)</f>
        <v>0</v>
      </c>
      <c r="O205" s="241">
        <f>VLOOKUP($A185,Elanikud!$A$22:$S$41,Elanikud!K$21,FALSE)</f>
        <v>0</v>
      </c>
      <c r="P205" s="241">
        <f>VLOOKUP($A185,Elanikud!$A$22:$S$41,Elanikud!L$21,FALSE)</f>
        <v>0</v>
      </c>
      <c r="Q205" s="241">
        <f>VLOOKUP($A185,Elanikud!$A$22:$S$41,Elanikud!M$21,FALSE)</f>
        <v>0</v>
      </c>
      <c r="R205" s="241">
        <f>VLOOKUP($A185,Elanikud!$A$22:$S$41,Elanikud!N$21,FALSE)</f>
        <v>0</v>
      </c>
      <c r="S205" s="241">
        <f>VLOOKUP($A185,Elanikud!$A$22:$S$41,Elanikud!O$21,FALSE)</f>
        <v>0</v>
      </c>
      <c r="T205" s="241">
        <f>VLOOKUP($A185,Elanikud!$A$22:$S$41,Elanikud!P$21,FALSE)</f>
        <v>0</v>
      </c>
      <c r="U205" s="241">
        <f>VLOOKUP($A185,Elanikud!$A$22:$S$41,Elanikud!Q$21,FALSE)</f>
        <v>0</v>
      </c>
      <c r="V205"/>
      <c r="W205" s="318"/>
      <c r="X205" s="332"/>
      <c r="Y205" s="332"/>
      <c r="Z205" s="332"/>
      <c r="AA205" s="332"/>
      <c r="AB205" s="332"/>
      <c r="AC205" s="332"/>
      <c r="AD205" s="332"/>
      <c r="AE205" s="332"/>
      <c r="AF205" s="332"/>
      <c r="AG205" s="332"/>
      <c r="AH205" s="332"/>
      <c r="AI205" s="332"/>
      <c r="AJ205" s="332"/>
    </row>
    <row r="206" spans="1:36" x14ac:dyDescent="0.35">
      <c r="A206" s="36" t="s">
        <v>484</v>
      </c>
      <c r="B206" s="36"/>
      <c r="C206" s="36"/>
      <c r="D206" s="36"/>
      <c r="E206" s="41" t="s">
        <v>484</v>
      </c>
      <c r="F206" s="41"/>
      <c r="G206" s="41"/>
      <c r="H206" s="41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36" outlineLevel="1" x14ac:dyDescent="0.35">
      <c r="A207" s="34" t="s">
        <v>21</v>
      </c>
      <c r="B207" s="32"/>
      <c r="C207" s="32"/>
      <c r="D207" s="32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36" ht="16.5" outlineLevel="1" x14ac:dyDescent="0.35">
      <c r="A208" s="30" t="s">
        <v>124</v>
      </c>
      <c r="B208" s="31" t="s">
        <v>125</v>
      </c>
      <c r="C208" s="226">
        <f t="shared" ref="C208:C213" si="497">G208/365</f>
        <v>6.2222222222222214</v>
      </c>
      <c r="D208" s="225">
        <f t="shared" ref="D208:D213" si="498">U208/365</f>
        <v>6.7328100669496411</v>
      </c>
      <c r="E208" s="46"/>
      <c r="F208" s="46"/>
      <c r="G208" s="210">
        <f>G209*100%/(100%-G214)</f>
        <v>2271.1111111111109</v>
      </c>
      <c r="H208" s="46"/>
      <c r="I208" s="76">
        <f t="shared" ref="I208:U208" si="499">(I209+I212)/(100%-I214)</f>
        <v>2271.1111111111109</v>
      </c>
      <c r="J208" s="4">
        <f t="shared" si="499"/>
        <v>2288.2810031020886</v>
      </c>
      <c r="K208" s="4">
        <f t="shared" si="499"/>
        <v>2305.0506559512746</v>
      </c>
      <c r="L208" s="4">
        <f t="shared" si="499"/>
        <v>2321.3539751214935</v>
      </c>
      <c r="M208" s="4">
        <f t="shared" si="499"/>
        <v>2337.2129921251358</v>
      </c>
      <c r="N208" s="4">
        <f t="shared" si="499"/>
        <v>2352.7415364428953</v>
      </c>
      <c r="O208" s="4">
        <f t="shared" si="499"/>
        <v>2367.9469519122367</v>
      </c>
      <c r="P208" s="4">
        <f t="shared" si="499"/>
        <v>2382.9944748761</v>
      </c>
      <c r="Q208" s="4">
        <f t="shared" si="499"/>
        <v>2397.9134806843422</v>
      </c>
      <c r="R208" s="4">
        <f t="shared" si="499"/>
        <v>2412.7590481179436</v>
      </c>
      <c r="S208" s="4">
        <f t="shared" si="499"/>
        <v>2427.5605525267615</v>
      </c>
      <c r="T208" s="4">
        <f t="shared" si="499"/>
        <v>2442.4428391476836</v>
      </c>
      <c r="U208" s="4">
        <f t="shared" si="499"/>
        <v>2457.4756744366191</v>
      </c>
    </row>
    <row r="209" spans="1:36" ht="16.5" outlineLevel="1" x14ac:dyDescent="0.35">
      <c r="A209" s="30" t="s">
        <v>126</v>
      </c>
      <c r="B209" s="31" t="s">
        <v>125</v>
      </c>
      <c r="C209" s="226">
        <f t="shared" si="497"/>
        <v>5.6</v>
      </c>
      <c r="D209" s="226">
        <f t="shared" si="498"/>
        <v>6.0595290602546772</v>
      </c>
      <c r="E209" s="46"/>
      <c r="F209" s="64"/>
      <c r="G209" s="210">
        <f>G210+G211</f>
        <v>2044</v>
      </c>
      <c r="H209" s="46"/>
      <c r="I209" s="48">
        <f t="shared" ref="I209:U209" si="500">I210+I211</f>
        <v>2043.9999999999998</v>
      </c>
      <c r="J209" s="12">
        <f t="shared" si="500"/>
        <v>2059.4529027918798</v>
      </c>
      <c r="K209" s="12">
        <f t="shared" si="500"/>
        <v>2074.5455903561474</v>
      </c>
      <c r="L209" s="12">
        <f t="shared" si="500"/>
        <v>2089.2185776093443</v>
      </c>
      <c r="M209" s="12">
        <f t="shared" si="500"/>
        <v>2103.4916929126221</v>
      </c>
      <c r="N209" s="12">
        <f t="shared" si="500"/>
        <v>2117.4673827986057</v>
      </c>
      <c r="O209" s="12">
        <f t="shared" si="500"/>
        <v>2131.1522567210131</v>
      </c>
      <c r="P209" s="12">
        <f t="shared" si="500"/>
        <v>2144.69502738849</v>
      </c>
      <c r="Q209" s="12">
        <f t="shared" si="500"/>
        <v>2158.122132615908</v>
      </c>
      <c r="R209" s="12">
        <f t="shared" si="500"/>
        <v>2171.4831433061495</v>
      </c>
      <c r="S209" s="12">
        <f t="shared" si="500"/>
        <v>2184.8044972740854</v>
      </c>
      <c r="T209" s="12">
        <f t="shared" si="500"/>
        <v>2198.1985552329152</v>
      </c>
      <c r="U209" s="12">
        <f t="shared" si="500"/>
        <v>2211.7281069929572</v>
      </c>
    </row>
    <row r="210" spans="1:36" ht="16.5" outlineLevel="1" x14ac:dyDescent="0.35">
      <c r="A210" s="30" t="s">
        <v>127</v>
      </c>
      <c r="B210" s="31" t="s">
        <v>125</v>
      </c>
      <c r="C210" s="226">
        <f t="shared" si="497"/>
        <v>5.6</v>
      </c>
      <c r="D210" s="226">
        <f t="shared" si="498"/>
        <v>6.0595290602546772</v>
      </c>
      <c r="E210" s="46"/>
      <c r="F210" s="46"/>
      <c r="G210" s="210">
        <f>G215/1000*365*G216</f>
        <v>2044</v>
      </c>
      <c r="H210" s="64"/>
      <c r="I210" s="47">
        <f t="shared" ref="I210:U210" si="501">I215*I216/1000*365</f>
        <v>2043.9999999999998</v>
      </c>
      <c r="J210" s="4">
        <f t="shared" si="501"/>
        <v>2059.4529027918798</v>
      </c>
      <c r="K210" s="4">
        <f t="shared" si="501"/>
        <v>2074.5455903561474</v>
      </c>
      <c r="L210" s="4">
        <f t="shared" si="501"/>
        <v>2089.2185776093443</v>
      </c>
      <c r="M210" s="4">
        <f t="shared" si="501"/>
        <v>2103.4916929126221</v>
      </c>
      <c r="N210" s="4">
        <f t="shared" si="501"/>
        <v>2117.4673827986057</v>
      </c>
      <c r="O210" s="4">
        <f t="shared" si="501"/>
        <v>2131.1522567210131</v>
      </c>
      <c r="P210" s="4">
        <f t="shared" si="501"/>
        <v>2144.69502738849</v>
      </c>
      <c r="Q210" s="4">
        <f t="shared" si="501"/>
        <v>2158.122132615908</v>
      </c>
      <c r="R210" s="4">
        <f t="shared" si="501"/>
        <v>2171.4831433061495</v>
      </c>
      <c r="S210" s="4">
        <f t="shared" si="501"/>
        <v>2184.8044972740854</v>
      </c>
      <c r="T210" s="4">
        <f t="shared" si="501"/>
        <v>2198.1985552329152</v>
      </c>
      <c r="U210" s="4">
        <f t="shared" si="501"/>
        <v>2211.7281069929572</v>
      </c>
    </row>
    <row r="211" spans="1:36" ht="16.5" outlineLevel="1" x14ac:dyDescent="0.35">
      <c r="A211" s="30" t="s">
        <v>497</v>
      </c>
      <c r="B211" s="31" t="s">
        <v>125</v>
      </c>
      <c r="C211" s="226">
        <f t="shared" si="497"/>
        <v>0</v>
      </c>
      <c r="D211" s="226">
        <f t="shared" si="498"/>
        <v>0</v>
      </c>
      <c r="E211" s="46"/>
      <c r="F211" s="46"/>
      <c r="G211" s="210">
        <v>0</v>
      </c>
      <c r="H211" s="64"/>
      <c r="I211" s="61">
        <f>AVERAGE(E211:G211)</f>
        <v>0</v>
      </c>
      <c r="J211" s="4">
        <f t="shared" ref="J211:U211" si="502">I211</f>
        <v>0</v>
      </c>
      <c r="K211" s="4">
        <f t="shared" si="502"/>
        <v>0</v>
      </c>
      <c r="L211" s="4">
        <f t="shared" si="502"/>
        <v>0</v>
      </c>
      <c r="M211" s="4">
        <f t="shared" si="502"/>
        <v>0</v>
      </c>
      <c r="N211" s="4">
        <f t="shared" si="502"/>
        <v>0</v>
      </c>
      <c r="O211" s="4">
        <f t="shared" si="502"/>
        <v>0</v>
      </c>
      <c r="P211" s="4">
        <f t="shared" si="502"/>
        <v>0</v>
      </c>
      <c r="Q211" s="4">
        <f t="shared" si="502"/>
        <v>0</v>
      </c>
      <c r="R211" s="4">
        <f t="shared" si="502"/>
        <v>0</v>
      </c>
      <c r="S211" s="4">
        <f t="shared" si="502"/>
        <v>0</v>
      </c>
      <c r="T211" s="4">
        <f t="shared" si="502"/>
        <v>0</v>
      </c>
      <c r="U211" s="4">
        <f t="shared" si="502"/>
        <v>0</v>
      </c>
    </row>
    <row r="212" spans="1:36" s="7" customFormat="1" ht="16.5" outlineLevel="1" x14ac:dyDescent="0.35">
      <c r="A212" s="255" t="s">
        <v>524</v>
      </c>
      <c r="B212" s="256" t="s">
        <v>520</v>
      </c>
      <c r="C212" s="271">
        <f t="shared" si="497"/>
        <v>0</v>
      </c>
      <c r="D212" s="271">
        <f t="shared" si="498"/>
        <v>0</v>
      </c>
      <c r="E212" s="258"/>
      <c r="F212" s="258"/>
      <c r="G212" s="258">
        <f>ABS(SUMIFS(SM!H:H,SM!$C:$C,"OMA",SM!$D:$D,$E206))</f>
        <v>0</v>
      </c>
      <c r="H212" s="258"/>
      <c r="I212" s="275">
        <f>AVERAGE(F212:G212)</f>
        <v>0</v>
      </c>
      <c r="J212" s="259">
        <f t="shared" ref="J212:U212" si="503">I212</f>
        <v>0</v>
      </c>
      <c r="K212" s="259">
        <f t="shared" si="503"/>
        <v>0</v>
      </c>
      <c r="L212" s="259">
        <f t="shared" si="503"/>
        <v>0</v>
      </c>
      <c r="M212" s="259">
        <f t="shared" si="503"/>
        <v>0</v>
      </c>
      <c r="N212" s="259">
        <f t="shared" si="503"/>
        <v>0</v>
      </c>
      <c r="O212" s="259">
        <f t="shared" si="503"/>
        <v>0</v>
      </c>
      <c r="P212" s="259">
        <f t="shared" si="503"/>
        <v>0</v>
      </c>
      <c r="Q212" s="259">
        <f t="shared" si="503"/>
        <v>0</v>
      </c>
      <c r="R212" s="259">
        <f t="shared" si="503"/>
        <v>0</v>
      </c>
      <c r="S212" s="259">
        <f t="shared" si="503"/>
        <v>0</v>
      </c>
      <c r="T212" s="259">
        <f t="shared" si="503"/>
        <v>0</v>
      </c>
      <c r="U212" s="259">
        <f t="shared" si="503"/>
        <v>0</v>
      </c>
      <c r="W212" s="318"/>
      <c r="X212" s="332"/>
      <c r="Y212" s="332"/>
      <c r="Z212" s="332"/>
      <c r="AA212" s="332"/>
      <c r="AB212" s="332"/>
      <c r="AC212" s="332"/>
      <c r="AD212" s="332"/>
      <c r="AE212" s="332"/>
      <c r="AF212" s="332"/>
      <c r="AG212" s="332"/>
      <c r="AH212" s="332"/>
      <c r="AI212" s="332"/>
      <c r="AJ212" s="332"/>
    </row>
    <row r="213" spans="1:36" ht="16.5" outlineLevel="1" x14ac:dyDescent="0.35">
      <c r="A213" s="30" t="s">
        <v>130</v>
      </c>
      <c r="B213" s="31" t="s">
        <v>125</v>
      </c>
      <c r="C213" s="225">
        <f t="shared" si="497"/>
        <v>0.62222222222222212</v>
      </c>
      <c r="D213" s="226">
        <f t="shared" si="498"/>
        <v>0.67328100669496416</v>
      </c>
      <c r="E213" s="64"/>
      <c r="F213" s="64"/>
      <c r="G213" s="210">
        <f>G214*G208</f>
        <v>227.11111111111109</v>
      </c>
      <c r="H213" s="64"/>
      <c r="I213" s="47">
        <f t="shared" ref="I213:U213" si="504">I214*I208</f>
        <v>227.11111111111109</v>
      </c>
      <c r="J213" s="4">
        <f t="shared" si="504"/>
        <v>228.82810031020887</v>
      </c>
      <c r="K213" s="4">
        <f t="shared" si="504"/>
        <v>230.50506559512746</v>
      </c>
      <c r="L213" s="4">
        <f t="shared" si="504"/>
        <v>232.13539751214935</v>
      </c>
      <c r="M213" s="4">
        <f t="shared" si="504"/>
        <v>233.7212992125136</v>
      </c>
      <c r="N213" s="4">
        <f t="shared" si="504"/>
        <v>235.27415364428953</v>
      </c>
      <c r="O213" s="4">
        <f t="shared" si="504"/>
        <v>236.7946951912237</v>
      </c>
      <c r="P213" s="4">
        <f t="shared" si="504"/>
        <v>238.29944748761</v>
      </c>
      <c r="Q213" s="4">
        <f t="shared" si="504"/>
        <v>239.79134806843422</v>
      </c>
      <c r="R213" s="4">
        <f t="shared" si="504"/>
        <v>241.27590481179436</v>
      </c>
      <c r="S213" s="4">
        <f t="shared" si="504"/>
        <v>242.75605525267616</v>
      </c>
      <c r="T213" s="4">
        <f t="shared" si="504"/>
        <v>244.24428391476837</v>
      </c>
      <c r="U213" s="4">
        <f t="shared" si="504"/>
        <v>245.74756744366192</v>
      </c>
    </row>
    <row r="214" spans="1:36" outlineLevel="1" x14ac:dyDescent="0.35">
      <c r="A214" s="30" t="s">
        <v>130</v>
      </c>
      <c r="B214" s="31" t="s">
        <v>131</v>
      </c>
      <c r="C214" s="74">
        <f>G214</f>
        <v>0.1</v>
      </c>
      <c r="D214" s="54">
        <f>U214</f>
        <v>0.1</v>
      </c>
      <c r="E214" s="212"/>
      <c r="F214" s="212"/>
      <c r="G214" s="223">
        <v>0.1</v>
      </c>
      <c r="H214" s="49"/>
      <c r="I214" s="362">
        <v>0.1</v>
      </c>
      <c r="J214" s="364">
        <f t="shared" ref="J214:U214" si="505">I214</f>
        <v>0.1</v>
      </c>
      <c r="K214" s="364">
        <f t="shared" si="505"/>
        <v>0.1</v>
      </c>
      <c r="L214" s="364">
        <f t="shared" si="505"/>
        <v>0.1</v>
      </c>
      <c r="M214" s="364">
        <f t="shared" si="505"/>
        <v>0.1</v>
      </c>
      <c r="N214" s="364">
        <f t="shared" si="505"/>
        <v>0.1</v>
      </c>
      <c r="O214" s="364">
        <f t="shared" si="505"/>
        <v>0.1</v>
      </c>
      <c r="P214" s="364">
        <f t="shared" si="505"/>
        <v>0.1</v>
      </c>
      <c r="Q214" s="364">
        <f t="shared" si="505"/>
        <v>0.1</v>
      </c>
      <c r="R214" s="364">
        <f t="shared" si="505"/>
        <v>0.1</v>
      </c>
      <c r="S214" s="364">
        <f t="shared" si="505"/>
        <v>0.1</v>
      </c>
      <c r="T214" s="364">
        <f t="shared" si="505"/>
        <v>0.1</v>
      </c>
      <c r="U214" s="364">
        <f t="shared" si="505"/>
        <v>0.1</v>
      </c>
      <c r="W214" s="319"/>
      <c r="X214" s="333"/>
      <c r="Y214" s="333"/>
      <c r="Z214" s="333"/>
      <c r="AA214" s="333"/>
      <c r="AB214" s="333"/>
      <c r="AC214" s="333"/>
      <c r="AD214" s="333"/>
      <c r="AE214" s="333"/>
      <c r="AF214" s="333"/>
      <c r="AG214" s="333"/>
      <c r="AH214" s="333"/>
      <c r="AI214" s="333"/>
      <c r="AJ214" s="333"/>
    </row>
    <row r="215" spans="1:36" outlineLevel="1" x14ac:dyDescent="0.35">
      <c r="A215" s="30" t="s">
        <v>128</v>
      </c>
      <c r="B215" s="31" t="s">
        <v>129</v>
      </c>
      <c r="C215" s="53">
        <f>G215</f>
        <v>80</v>
      </c>
      <c r="D215" s="53">
        <f>U215</f>
        <v>80</v>
      </c>
      <c r="E215" s="210"/>
      <c r="F215" s="210"/>
      <c r="G215" s="210">
        <v>80</v>
      </c>
      <c r="H215" s="46"/>
      <c r="I215" s="76">
        <f>G215</f>
        <v>80</v>
      </c>
      <c r="J215" s="4">
        <f t="shared" ref="J215:U215" si="506">I215</f>
        <v>80</v>
      </c>
      <c r="K215" s="4">
        <f t="shared" si="506"/>
        <v>80</v>
      </c>
      <c r="L215" s="4">
        <f t="shared" si="506"/>
        <v>80</v>
      </c>
      <c r="M215" s="4">
        <f t="shared" si="506"/>
        <v>80</v>
      </c>
      <c r="N215" s="4">
        <f t="shared" si="506"/>
        <v>80</v>
      </c>
      <c r="O215" s="4">
        <f t="shared" si="506"/>
        <v>80</v>
      </c>
      <c r="P215" s="4">
        <f t="shared" si="506"/>
        <v>80</v>
      </c>
      <c r="Q215" s="4">
        <f t="shared" si="506"/>
        <v>80</v>
      </c>
      <c r="R215" s="4">
        <f t="shared" si="506"/>
        <v>80</v>
      </c>
      <c r="S215" s="4">
        <f t="shared" si="506"/>
        <v>80</v>
      </c>
      <c r="T215" s="4">
        <f t="shared" si="506"/>
        <v>80</v>
      </c>
      <c r="U215" s="4">
        <f t="shared" si="506"/>
        <v>80</v>
      </c>
    </row>
    <row r="216" spans="1:36" outlineLevel="1" x14ac:dyDescent="0.35">
      <c r="A216" s="77" t="s">
        <v>136</v>
      </c>
      <c r="B216" s="78" t="s">
        <v>137</v>
      </c>
      <c r="C216" s="355">
        <f>G216</f>
        <v>70</v>
      </c>
      <c r="D216" s="355">
        <f>U216</f>
        <v>75.744113253183471</v>
      </c>
      <c r="E216" s="213"/>
      <c r="F216" s="213"/>
      <c r="G216" s="213">
        <f>VLOOKUP($A206,Elanikud!$A$1:$S$20,Elanikud!D$21,FALSE)</f>
        <v>70</v>
      </c>
      <c r="H216" s="213">
        <f>VLOOKUP($A206,Elanikud!$A$1:$S$20,Elanikud!E$21,FALSE)</f>
        <v>70</v>
      </c>
      <c r="I216" s="62">
        <f>VLOOKUP($A206,Elanikud!$A$1:$S$20,Elanikud!E$21,FALSE)</f>
        <v>70</v>
      </c>
      <c r="J216" s="241">
        <f>VLOOKUP($A206,Elanikud!$A$1:$S$20,Elanikud!F$21,FALSE)</f>
        <v>70.529208999721916</v>
      </c>
      <c r="K216" s="241">
        <f>VLOOKUP($A206,Elanikud!$A$1:$S$20,Elanikud!G$21,FALSE)</f>
        <v>71.046081861511908</v>
      </c>
      <c r="L216" s="241">
        <f>VLOOKUP($A206,Elanikud!$A$1:$S$20,Elanikud!H$21,FALSE)</f>
        <v>71.548581424977542</v>
      </c>
      <c r="M216" s="241">
        <f>VLOOKUP($A206,Elanikud!$A$1:$S$20,Elanikud!I$21,FALSE)</f>
        <v>72.037386743582957</v>
      </c>
      <c r="N216" s="241">
        <f>VLOOKUP($A206,Elanikud!$A$1:$S$20,Elanikud!J$21,FALSE)</f>
        <v>72.516006260226234</v>
      </c>
      <c r="O216" s="241">
        <f>VLOOKUP($A206,Elanikud!$A$1:$S$20,Elanikud!K$21,FALSE)</f>
        <v>72.984666326062083</v>
      </c>
      <c r="P216" s="241">
        <f>VLOOKUP($A206,Elanikud!$A$1:$S$20,Elanikud!L$21,FALSE)</f>
        <v>73.448459842071571</v>
      </c>
      <c r="Q216" s="241">
        <f>VLOOKUP($A206,Elanikud!$A$1:$S$20,Elanikud!M$21,FALSE)</f>
        <v>73.908292212873562</v>
      </c>
      <c r="R216" s="241">
        <f>VLOOKUP($A206,Elanikud!$A$1:$S$20,Elanikud!N$21,FALSE)</f>
        <v>74.365861072128411</v>
      </c>
      <c r="S216" s="241">
        <f>VLOOKUP($A206,Elanikud!$A$1:$S$20,Elanikud!O$21,FALSE)</f>
        <v>74.82207182445498</v>
      </c>
      <c r="T216" s="241">
        <f>VLOOKUP($A206,Elanikud!$A$1:$S$20,Elanikud!P$21,FALSE)</f>
        <v>75.2807724394834</v>
      </c>
      <c r="U216" s="241">
        <f>VLOOKUP($A206,Elanikud!$A$1:$S$20,Elanikud!Q$21,FALSE)</f>
        <v>75.744113253183471</v>
      </c>
    </row>
    <row r="217" spans="1:36" outlineLevel="1" x14ac:dyDescent="0.35">
      <c r="A217" s="35" t="s">
        <v>43</v>
      </c>
      <c r="B217" s="33"/>
      <c r="C217" s="33"/>
      <c r="D217" s="33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W217" s="319"/>
      <c r="X217" s="333"/>
      <c r="Y217" s="333"/>
      <c r="Z217" s="333"/>
      <c r="AA217" s="333"/>
      <c r="AB217" s="333"/>
      <c r="AC217" s="333"/>
      <c r="AD217" s="333"/>
      <c r="AE217" s="333"/>
      <c r="AF217" s="333"/>
      <c r="AG217" s="333"/>
      <c r="AH217" s="333"/>
      <c r="AI217" s="333"/>
      <c r="AJ217" s="333"/>
    </row>
    <row r="218" spans="1:36" ht="16.5" outlineLevel="1" x14ac:dyDescent="0.35">
      <c r="A218" s="30" t="s">
        <v>132</v>
      </c>
      <c r="B218" s="31" t="s">
        <v>125</v>
      </c>
      <c r="C218" s="53">
        <f t="shared" ref="C218:C223" si="507">G218/365</f>
        <v>0</v>
      </c>
      <c r="D218" s="53">
        <f t="shared" ref="D218:D223" si="508">U218/365</f>
        <v>0</v>
      </c>
      <c r="E218" s="71">
        <f>ABS(SUMIFS(SM!I:I,SM!$C:$C,"too",SM!$D:$D,$E206))+E223</f>
        <v>0</v>
      </c>
      <c r="F218" s="71">
        <f>ABS(SUMIFS(SM!J:J,SM!$C:$C,"too",SM!$D:$D,$E206))+F223</f>
        <v>0</v>
      </c>
      <c r="G218" s="71">
        <f>ABS(SUMIFS(SM!K:K,SM!$C:$C,"too",SM!$D:$D,$E206))+G223</f>
        <v>0</v>
      </c>
      <c r="H218" s="45"/>
      <c r="I218" s="47">
        <f>(I219+I222)/(100%-I224)</f>
        <v>0</v>
      </c>
      <c r="J218" s="4">
        <f t="shared" ref="J218" si="509">(J219+J222)/(100%-J224)</f>
        <v>0</v>
      </c>
      <c r="K218" s="4">
        <f t="shared" ref="K218" si="510">(K219+K222)/(100%-K224)</f>
        <v>0</v>
      </c>
      <c r="L218" s="4">
        <f t="shared" ref="L218" si="511">(L219+L222)/(100%-L224)</f>
        <v>0</v>
      </c>
      <c r="M218" s="4">
        <f t="shared" ref="M218" si="512">(M219+M222)/(100%-M224)</f>
        <v>0</v>
      </c>
      <c r="N218" s="4">
        <f t="shared" ref="N218" si="513">(N219+N222)/(100%-N224)</f>
        <v>0</v>
      </c>
      <c r="O218" s="4">
        <f t="shared" ref="O218" si="514">(O219+O222)/(100%-O224)</f>
        <v>0</v>
      </c>
      <c r="P218" s="4">
        <f t="shared" ref="P218" si="515">(P219+P222)/(100%-P224)</f>
        <v>0</v>
      </c>
      <c r="Q218" s="4">
        <f t="shared" ref="Q218" si="516">(Q219+Q222)/(100%-Q224)</f>
        <v>0</v>
      </c>
      <c r="R218" s="4">
        <f t="shared" ref="R218" si="517">(R219+R222)/(100%-R224)</f>
        <v>0</v>
      </c>
      <c r="S218" s="4">
        <f t="shared" ref="S218" si="518">(S219+S222)/(100%-S224)</f>
        <v>0</v>
      </c>
      <c r="T218" s="4">
        <f t="shared" ref="T218" si="519">(T219+T222)/(100%-T224)</f>
        <v>0</v>
      </c>
      <c r="U218" s="4">
        <f t="shared" ref="U218" si="520">(U219+U222)/(100%-U224)</f>
        <v>0</v>
      </c>
      <c r="Z218" s="337"/>
      <c r="AA218" s="337"/>
      <c r="AB218" s="337"/>
      <c r="AC218" s="337"/>
      <c r="AD218" s="337"/>
      <c r="AE218" s="337"/>
      <c r="AF218" s="337"/>
      <c r="AG218" s="337"/>
      <c r="AH218" s="337"/>
      <c r="AI218" s="337"/>
      <c r="AJ218" s="337"/>
    </row>
    <row r="219" spans="1:36" ht="16.5" outlineLevel="1" x14ac:dyDescent="0.35">
      <c r="A219" s="30" t="s">
        <v>133</v>
      </c>
      <c r="B219" s="31" t="s">
        <v>125</v>
      </c>
      <c r="C219" s="53">
        <f t="shared" si="507"/>
        <v>0</v>
      </c>
      <c r="D219" s="53">
        <f t="shared" si="508"/>
        <v>0</v>
      </c>
      <c r="E219" s="71">
        <f>E220+E221</f>
        <v>0</v>
      </c>
      <c r="F219" s="71">
        <f>F220+F221</f>
        <v>0</v>
      </c>
      <c r="G219" s="71">
        <f>G220+G221</f>
        <v>0</v>
      </c>
      <c r="H219" s="45"/>
      <c r="I219" s="48">
        <f t="shared" ref="I219" si="521">I220+I221</f>
        <v>0</v>
      </c>
      <c r="J219" s="12">
        <f t="shared" ref="J219" si="522">J220+J221</f>
        <v>0</v>
      </c>
      <c r="K219" s="12">
        <f t="shared" ref="K219" si="523">K220+K221</f>
        <v>0</v>
      </c>
      <c r="L219" s="12">
        <f t="shared" ref="L219" si="524">L220+L221</f>
        <v>0</v>
      </c>
      <c r="M219" s="12">
        <f t="shared" ref="M219" si="525">M220+M221</f>
        <v>0</v>
      </c>
      <c r="N219" s="12">
        <f t="shared" ref="N219" si="526">N220+N221</f>
        <v>0</v>
      </c>
      <c r="O219" s="12">
        <f t="shared" ref="O219" si="527">O220+O221</f>
        <v>0</v>
      </c>
      <c r="P219" s="12">
        <f t="shared" ref="P219" si="528">P220+P221</f>
        <v>0</v>
      </c>
      <c r="Q219" s="12">
        <f t="shared" ref="Q219" si="529">Q220+Q221</f>
        <v>0</v>
      </c>
      <c r="R219" s="12">
        <f t="shared" ref="R219" si="530">R220+R221</f>
        <v>0</v>
      </c>
      <c r="S219" s="12">
        <f t="shared" ref="S219" si="531">S220+S221</f>
        <v>0</v>
      </c>
      <c r="T219" s="12">
        <f t="shared" ref="T219" si="532">T220+T221</f>
        <v>0</v>
      </c>
      <c r="U219" s="12">
        <f t="shared" ref="U219" si="533">U220+U221</f>
        <v>0</v>
      </c>
    </row>
    <row r="220" spans="1:36" ht="16.5" outlineLevel="1" x14ac:dyDescent="0.35">
      <c r="A220" s="30" t="s">
        <v>134</v>
      </c>
      <c r="B220" s="31" t="s">
        <v>125</v>
      </c>
      <c r="C220" s="53">
        <f t="shared" si="507"/>
        <v>0</v>
      </c>
      <c r="D220" s="53">
        <f t="shared" si="508"/>
        <v>0</v>
      </c>
      <c r="E220" s="71">
        <f>ABS(SUMIFS(SM!I:I,SM!$C:$C,"era",SM!$D:$D,$E206))</f>
        <v>0</v>
      </c>
      <c r="F220" s="71">
        <f>ABS(SUMIFS(SM!J:J,SM!$C:$C,"era",SM!$D:$D,$E206))</f>
        <v>0</v>
      </c>
      <c r="G220" s="71">
        <f>ABS(SUMIFS(SM!K:K,SM!$C:$C,"era",SM!$D:$D,$E206))</f>
        <v>0</v>
      </c>
      <c r="H220" s="71"/>
      <c r="I220" s="47">
        <f t="shared" ref="I220:U220" si="534">I226*I225*365/1000</f>
        <v>0</v>
      </c>
      <c r="J220" s="4">
        <f t="shared" si="534"/>
        <v>0</v>
      </c>
      <c r="K220" s="4">
        <f t="shared" si="534"/>
        <v>0</v>
      </c>
      <c r="L220" s="4">
        <f t="shared" si="534"/>
        <v>0</v>
      </c>
      <c r="M220" s="4">
        <f t="shared" si="534"/>
        <v>0</v>
      </c>
      <c r="N220" s="4">
        <f t="shared" si="534"/>
        <v>0</v>
      </c>
      <c r="O220" s="4">
        <f t="shared" si="534"/>
        <v>0</v>
      </c>
      <c r="P220" s="4">
        <f t="shared" si="534"/>
        <v>0</v>
      </c>
      <c r="Q220" s="4">
        <f t="shared" si="534"/>
        <v>0</v>
      </c>
      <c r="R220" s="4">
        <f t="shared" si="534"/>
        <v>0</v>
      </c>
      <c r="S220" s="4">
        <f t="shared" si="534"/>
        <v>0</v>
      </c>
      <c r="T220" s="4">
        <f t="shared" si="534"/>
        <v>0</v>
      </c>
      <c r="U220" s="4">
        <f t="shared" si="534"/>
        <v>0</v>
      </c>
    </row>
    <row r="221" spans="1:36" ht="16.5" outlineLevel="1" x14ac:dyDescent="0.35">
      <c r="A221" s="30" t="s">
        <v>498</v>
      </c>
      <c r="B221" s="31" t="s">
        <v>125</v>
      </c>
      <c r="C221" s="53">
        <f t="shared" si="507"/>
        <v>0</v>
      </c>
      <c r="D221" s="53">
        <f t="shared" si="508"/>
        <v>0</v>
      </c>
      <c r="E221" s="71">
        <f>ABS(SUMIFS(SM!I:I,SM!$C:$C,"jur",SM!$D:$D,$E206))</f>
        <v>0</v>
      </c>
      <c r="F221" s="71">
        <f>ABS(SUMIFS(SM!J:J,SM!$C:$C,"jur",SM!$D:$D,$E206))</f>
        <v>0</v>
      </c>
      <c r="G221" s="71">
        <f>ABS(SUMIFS(SM!K:K,SM!$C:$C,"jur",SM!$D:$D,$E206))</f>
        <v>0</v>
      </c>
      <c r="H221" s="71"/>
      <c r="I221" s="76">
        <f>G221</f>
        <v>0</v>
      </c>
      <c r="J221" s="4">
        <f t="shared" ref="J221:U221" si="535">I221</f>
        <v>0</v>
      </c>
      <c r="K221" s="4">
        <f t="shared" si="535"/>
        <v>0</v>
      </c>
      <c r="L221" s="4">
        <f t="shared" si="535"/>
        <v>0</v>
      </c>
      <c r="M221" s="4">
        <f t="shared" si="535"/>
        <v>0</v>
      </c>
      <c r="N221" s="4">
        <f t="shared" si="535"/>
        <v>0</v>
      </c>
      <c r="O221" s="4">
        <f t="shared" si="535"/>
        <v>0</v>
      </c>
      <c r="P221" s="4">
        <f t="shared" si="535"/>
        <v>0</v>
      </c>
      <c r="Q221" s="4">
        <f t="shared" si="535"/>
        <v>0</v>
      </c>
      <c r="R221" s="4">
        <f t="shared" si="535"/>
        <v>0</v>
      </c>
      <c r="S221" s="4">
        <f t="shared" si="535"/>
        <v>0</v>
      </c>
      <c r="T221" s="4">
        <f t="shared" si="535"/>
        <v>0</v>
      </c>
      <c r="U221" s="4">
        <f t="shared" si="535"/>
        <v>0</v>
      </c>
    </row>
    <row r="222" spans="1:36" s="70" customFormat="1" outlineLevel="1" x14ac:dyDescent="0.35">
      <c r="A222" s="260" t="s">
        <v>525</v>
      </c>
      <c r="B222" s="261" t="s">
        <v>521</v>
      </c>
      <c r="C222" s="262">
        <f t="shared" si="507"/>
        <v>0</v>
      </c>
      <c r="D222" s="262">
        <f t="shared" si="508"/>
        <v>0</v>
      </c>
      <c r="E222" s="263">
        <f>ABS(SUMIFS(SM!I:I,SM!$C:$C,"OMA",SM!$D:$D,$E206))</f>
        <v>0</v>
      </c>
      <c r="F222" s="263">
        <f>ABS(SUMIFS(SM!J:J,SM!$C:$C,"OMA",SM!$D:$D,$E206))</f>
        <v>0</v>
      </c>
      <c r="G222" s="263">
        <f>ABS(SUMIFS(SM!K:K,SM!$C:$C,"OMA",SM!$D:$D,$E206))</f>
        <v>0</v>
      </c>
      <c r="H222" s="263"/>
      <c r="I222" s="276">
        <f>IFERROR(AVERAGE(E222:G222),0)</f>
        <v>0</v>
      </c>
      <c r="J222" s="264">
        <f t="shared" ref="J222:U222" si="536">I222</f>
        <v>0</v>
      </c>
      <c r="K222" s="264">
        <f t="shared" si="536"/>
        <v>0</v>
      </c>
      <c r="L222" s="264">
        <f t="shared" si="536"/>
        <v>0</v>
      </c>
      <c r="M222" s="264">
        <f t="shared" si="536"/>
        <v>0</v>
      </c>
      <c r="N222" s="264">
        <f t="shared" si="536"/>
        <v>0</v>
      </c>
      <c r="O222" s="264">
        <f t="shared" si="536"/>
        <v>0</v>
      </c>
      <c r="P222" s="264">
        <f t="shared" si="536"/>
        <v>0</v>
      </c>
      <c r="Q222" s="264">
        <f t="shared" si="536"/>
        <v>0</v>
      </c>
      <c r="R222" s="264">
        <f t="shared" si="536"/>
        <v>0</v>
      </c>
      <c r="S222" s="264">
        <f t="shared" si="536"/>
        <v>0</v>
      </c>
      <c r="T222" s="264">
        <f t="shared" si="536"/>
        <v>0</v>
      </c>
      <c r="U222" s="264">
        <f t="shared" si="536"/>
        <v>0</v>
      </c>
      <c r="W222" s="318"/>
      <c r="X222" s="332"/>
      <c r="Y222" s="332"/>
      <c r="Z222" s="332"/>
      <c r="AA222" s="332"/>
      <c r="AB222" s="332"/>
      <c r="AC222" s="332"/>
      <c r="AD222" s="332"/>
      <c r="AE222" s="332"/>
      <c r="AF222" s="332"/>
      <c r="AG222" s="332"/>
      <c r="AH222" s="332"/>
      <c r="AI222" s="332"/>
      <c r="AJ222" s="332"/>
    </row>
    <row r="223" spans="1:36" ht="16.5" outlineLevel="1" x14ac:dyDescent="0.35">
      <c r="A223" s="30" t="s">
        <v>135</v>
      </c>
      <c r="B223" s="31" t="s">
        <v>125</v>
      </c>
      <c r="C223" s="53">
        <f t="shared" si="507"/>
        <v>0</v>
      </c>
      <c r="D223" s="53">
        <f t="shared" si="508"/>
        <v>0</v>
      </c>
      <c r="E223" s="71">
        <f>ABS(SUMIFS(SM!I:I,SM!$C:$C,"KAD",SM!$D:$D,$E206))</f>
        <v>0</v>
      </c>
      <c r="F223" s="71">
        <f>ABS(SUMIFS(SM!J:J,SM!$C:$C,"KAD",SM!$D:$D,$E206))</f>
        <v>0</v>
      </c>
      <c r="G223" s="71">
        <f>ABS(SUMIFS(SM!K:K,SM!$C:$C,"KAD",SM!$D:$D,$E206))</f>
        <v>0</v>
      </c>
      <c r="H223" s="45"/>
      <c r="I223" s="47">
        <f>I224*I218</f>
        <v>0</v>
      </c>
      <c r="J223" s="4">
        <f t="shared" ref="J223" si="537">J224*J218</f>
        <v>0</v>
      </c>
      <c r="K223" s="4">
        <f t="shared" ref="K223" si="538">K224*K218</f>
        <v>0</v>
      </c>
      <c r="L223" s="4">
        <f t="shared" ref="L223" si="539">L224*L218</f>
        <v>0</v>
      </c>
      <c r="M223" s="4">
        <f t="shared" ref="M223" si="540">M224*M218</f>
        <v>0</v>
      </c>
      <c r="N223" s="4">
        <f t="shared" ref="N223" si="541">N224*N218</f>
        <v>0</v>
      </c>
      <c r="O223" s="4">
        <f t="shared" ref="O223" si="542">O224*O218</f>
        <v>0</v>
      </c>
      <c r="P223" s="4">
        <f t="shared" ref="P223" si="543">P224*P218</f>
        <v>0</v>
      </c>
      <c r="Q223" s="4">
        <f t="shared" ref="Q223" si="544">Q224*Q218</f>
        <v>0</v>
      </c>
      <c r="R223" s="4">
        <f t="shared" ref="R223" si="545">R224*R218</f>
        <v>0</v>
      </c>
      <c r="S223" s="4">
        <f t="shared" ref="S223" si="546">S224*S218</f>
        <v>0</v>
      </c>
      <c r="T223" s="4">
        <f t="shared" ref="T223" si="547">T224*T218</f>
        <v>0</v>
      </c>
      <c r="U223" s="4">
        <f t="shared" ref="U223" si="548">U224*U218</f>
        <v>0</v>
      </c>
    </row>
    <row r="224" spans="1:36" outlineLevel="1" x14ac:dyDescent="0.35">
      <c r="A224" s="30" t="s">
        <v>135</v>
      </c>
      <c r="B224" s="31" t="s">
        <v>131</v>
      </c>
      <c r="C224" s="73" t="str">
        <f>G224</f>
        <v/>
      </c>
      <c r="D224" s="54">
        <f>U224</f>
        <v>0</v>
      </c>
      <c r="E224" s="50" t="str">
        <f>IFERROR(E223/E218,"")</f>
        <v/>
      </c>
      <c r="F224" s="50" t="str">
        <f>IFERROR(F223/F218,"")</f>
        <v/>
      </c>
      <c r="G224" s="50" t="str">
        <f>IFERROR(G223/G218,"")</f>
        <v/>
      </c>
      <c r="H224" s="50" t="str">
        <f>IFERROR(H223/H218,"")</f>
        <v/>
      </c>
      <c r="I224" s="186">
        <v>0</v>
      </c>
      <c r="J224" s="38">
        <f t="shared" ref="J224:U224" si="549">I224</f>
        <v>0</v>
      </c>
      <c r="K224" s="38">
        <f t="shared" si="549"/>
        <v>0</v>
      </c>
      <c r="L224" s="38">
        <f t="shared" si="549"/>
        <v>0</v>
      </c>
      <c r="M224" s="38">
        <f t="shared" si="549"/>
        <v>0</v>
      </c>
      <c r="N224" s="38">
        <f t="shared" si="549"/>
        <v>0</v>
      </c>
      <c r="O224" s="38">
        <f t="shared" si="549"/>
        <v>0</v>
      </c>
      <c r="P224" s="38">
        <f t="shared" si="549"/>
        <v>0</v>
      </c>
      <c r="Q224" s="38">
        <f t="shared" si="549"/>
        <v>0</v>
      </c>
      <c r="R224" s="38">
        <f t="shared" si="549"/>
        <v>0</v>
      </c>
      <c r="S224" s="38">
        <f t="shared" si="549"/>
        <v>0</v>
      </c>
      <c r="T224" s="38">
        <f t="shared" si="549"/>
        <v>0</v>
      </c>
      <c r="U224" s="38">
        <f t="shared" si="549"/>
        <v>0</v>
      </c>
    </row>
    <row r="225" spans="1:36" s="70" customFormat="1" outlineLevel="1" x14ac:dyDescent="0.35">
      <c r="A225" s="181" t="s">
        <v>128</v>
      </c>
      <c r="B225" s="182" t="s">
        <v>129</v>
      </c>
      <c r="C225" s="211">
        <f>G225</f>
        <v>0</v>
      </c>
      <c r="D225" s="211">
        <f>U225</f>
        <v>0</v>
      </c>
      <c r="E225" s="71">
        <f>IFERROR(E220/E226/365*1000,0)</f>
        <v>0</v>
      </c>
      <c r="F225" s="71">
        <f>IFERROR(F220/F226/365*1000,0)</f>
        <v>0</v>
      </c>
      <c r="G225" s="71">
        <f>IFERROR(G220/G226/365*1000,0)</f>
        <v>0</v>
      </c>
      <c r="H225" s="71"/>
      <c r="I225" s="76">
        <f>G225</f>
        <v>0</v>
      </c>
      <c r="J225" s="4">
        <f>IF(I225=0,0,IF(I225&gt;Veehind!$B$16,I225,I225+(Veehind!$B$16-$I225)/12))</f>
        <v>0</v>
      </c>
      <c r="K225" s="4">
        <f>IF(J225=0,0,IF(J225&gt;Veehind!$B$16,J225,J225+(Veehind!$B$16-$I225)/12))</f>
        <v>0</v>
      </c>
      <c r="L225" s="4">
        <f>IF(K225=0,0,IF(K225&gt;Veehind!$B$16,K225,K225+(Veehind!$B$16-$I225)/12))</f>
        <v>0</v>
      </c>
      <c r="M225" s="4">
        <f>IF(L225=0,0,IF(L225&gt;Veehind!$B$16,L225,L225+(Veehind!$B$16-$I225)/12))</f>
        <v>0</v>
      </c>
      <c r="N225" s="4">
        <f>IF(M225=0,0,IF(M225&gt;Veehind!$B$16,M225,M225+(Veehind!$B$16-$I225)/12))</f>
        <v>0</v>
      </c>
      <c r="O225" s="4">
        <f>IF(N225=0,0,IF(N225&gt;Veehind!$B$16,N225,N225+(Veehind!$B$16-$I225)/12))</f>
        <v>0</v>
      </c>
      <c r="P225" s="4">
        <f>IF(O225=0,0,IF(O225&gt;Veehind!$B$16,O225,O225+(Veehind!$B$16-$I225)/12))</f>
        <v>0</v>
      </c>
      <c r="Q225" s="4">
        <f>IF(P225=0,0,IF(P225&gt;Veehind!$B$16,P225,P225+(Veehind!$B$16-$I225)/12))</f>
        <v>0</v>
      </c>
      <c r="R225" s="4">
        <f>IF(Q225=0,0,IF(Q225&gt;Veehind!$B$16,Q225,Q225+(Veehind!$B$16-$I225)/12))</f>
        <v>0</v>
      </c>
      <c r="S225" s="4">
        <f>IF(R225=0,0,IF(R225&gt;Veehind!$B$16,R225,R225+(Veehind!$B$16-$I225)/12))</f>
        <v>0</v>
      </c>
      <c r="T225" s="4">
        <f>IF(S225=0,0,IF(S225&gt;Veehind!$B$16,S225,S225+(Veehind!$B$16-$I225)/12))</f>
        <v>0</v>
      </c>
      <c r="U225" s="4">
        <f>IF(T225=0,0,IF(T225&gt;Veehind!$B$16,T225,T225+(Veehind!$B$16-$I225)/12))</f>
        <v>0</v>
      </c>
      <c r="W225" s="320"/>
      <c r="X225" s="334"/>
      <c r="Y225" s="334"/>
      <c r="Z225" s="334"/>
      <c r="AA225" s="334"/>
      <c r="AB225" s="334"/>
      <c r="AC225" s="334"/>
      <c r="AD225" s="334"/>
      <c r="AE225" s="334"/>
      <c r="AF225" s="334"/>
      <c r="AG225" s="334"/>
      <c r="AH225" s="334"/>
      <c r="AI225" s="334"/>
      <c r="AJ225" s="334"/>
    </row>
    <row r="226" spans="1:36" s="37" customFormat="1" outlineLevel="1" x14ac:dyDescent="0.35">
      <c r="A226" s="77" t="s">
        <v>136</v>
      </c>
      <c r="B226" s="78" t="s">
        <v>137</v>
      </c>
      <c r="C226" s="355">
        <f>G226</f>
        <v>0</v>
      </c>
      <c r="D226" s="355">
        <f>U226</f>
        <v>0</v>
      </c>
      <c r="E226" s="215">
        <f>VLOOKUP($A206,Elanikud!$A$22:$S$41,Elanikud!B$21,FALSE)</f>
        <v>0</v>
      </c>
      <c r="F226" s="215">
        <f>VLOOKUP($A206,Elanikud!$A$22:$S$41,Elanikud!C$21,FALSE)</f>
        <v>0</v>
      </c>
      <c r="G226" s="215">
        <f>VLOOKUP($A206,Elanikud!$A$22:$S$41,Elanikud!D$21,FALSE)</f>
        <v>0</v>
      </c>
      <c r="H226" s="215">
        <f>VLOOKUP($A206,Elanikud!$A$22:$S$41,Elanikud!E$21,FALSE)</f>
        <v>0</v>
      </c>
      <c r="I226" s="62">
        <f>VLOOKUP($A206,Elanikud!$A$22:$S$41,Elanikud!E$21,FALSE)</f>
        <v>0</v>
      </c>
      <c r="J226" s="241">
        <f>VLOOKUP($A206,Elanikud!$A$22:$S$41,Elanikud!F$21,FALSE)</f>
        <v>0</v>
      </c>
      <c r="K226" s="241">
        <f>VLOOKUP($A206,Elanikud!$A$22:$S$41,Elanikud!G$21,FALSE)</f>
        <v>0</v>
      </c>
      <c r="L226" s="241">
        <f>VLOOKUP($A206,Elanikud!$A$22:$S$41,Elanikud!H$21,FALSE)</f>
        <v>0</v>
      </c>
      <c r="M226" s="241">
        <f>VLOOKUP($A206,Elanikud!$A$22:$S$41,Elanikud!I$21,FALSE)</f>
        <v>0</v>
      </c>
      <c r="N226" s="241">
        <f>VLOOKUP($A206,Elanikud!$A$22:$S$41,Elanikud!J$21,FALSE)</f>
        <v>0</v>
      </c>
      <c r="O226" s="241">
        <f>VLOOKUP($A206,Elanikud!$A$22:$S$41,Elanikud!K$21,FALSE)</f>
        <v>0</v>
      </c>
      <c r="P226" s="241">
        <f>VLOOKUP($A206,Elanikud!$A$22:$S$41,Elanikud!L$21,FALSE)</f>
        <v>0</v>
      </c>
      <c r="Q226" s="241">
        <f>VLOOKUP($A206,Elanikud!$A$22:$S$41,Elanikud!M$21,FALSE)</f>
        <v>0</v>
      </c>
      <c r="R226" s="241">
        <f>VLOOKUP($A206,Elanikud!$A$22:$S$41,Elanikud!N$21,FALSE)</f>
        <v>0</v>
      </c>
      <c r="S226" s="241">
        <f>VLOOKUP($A206,Elanikud!$A$22:$S$41,Elanikud!O$21,FALSE)</f>
        <v>0</v>
      </c>
      <c r="T226" s="241">
        <f>VLOOKUP($A206,Elanikud!$A$22:$S$41,Elanikud!P$21,FALSE)</f>
        <v>0</v>
      </c>
      <c r="U226" s="241">
        <f>VLOOKUP($A206,Elanikud!$A$22:$S$41,Elanikud!Q$21,FALSE)</f>
        <v>0</v>
      </c>
      <c r="V226"/>
      <c r="W226" s="318"/>
      <c r="X226" s="332"/>
      <c r="Y226" s="332"/>
      <c r="Z226" s="332"/>
      <c r="AA226" s="332"/>
      <c r="AB226" s="332"/>
      <c r="AC226" s="332"/>
      <c r="AD226" s="332"/>
      <c r="AE226" s="332"/>
      <c r="AF226" s="332"/>
      <c r="AG226" s="332"/>
      <c r="AH226" s="332"/>
      <c r="AI226" s="332"/>
      <c r="AJ226" s="332"/>
    </row>
    <row r="227" spans="1:36" x14ac:dyDescent="0.35">
      <c r="A227" s="36" t="s">
        <v>289</v>
      </c>
      <c r="B227" s="36"/>
      <c r="C227" s="36"/>
      <c r="D227" s="36"/>
      <c r="E227" s="41" t="s">
        <v>438</v>
      </c>
      <c r="F227" s="41"/>
      <c r="G227" s="41"/>
      <c r="H227" s="41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36" x14ac:dyDescent="0.35">
      <c r="A228" s="34" t="s">
        <v>21</v>
      </c>
      <c r="B228" s="32"/>
      <c r="C228" s="32"/>
      <c r="D228" s="32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36" ht="16.5" x14ac:dyDescent="0.35">
      <c r="A229" s="30" t="s">
        <v>124</v>
      </c>
      <c r="B229" s="31" t="s">
        <v>125</v>
      </c>
      <c r="C229" s="232">
        <f t="shared" ref="C229:C234" si="550">G229/365</f>
        <v>8.4456164383561632</v>
      </c>
      <c r="D229" s="225">
        <f t="shared" ref="D229:D234" si="551">U229/365</f>
        <v>12.811466441967251</v>
      </c>
      <c r="E229" s="46">
        <f>SUMIFS(SM!F:F,SM!$C:$C,"TOO",SM!$D:$D,$E227)</f>
        <v>2839</v>
      </c>
      <c r="F229" s="46">
        <f>SUMIFS(SM!G:G,SM!$C:$C,"TOO",SM!$D:$D,$E227)</f>
        <v>2594</v>
      </c>
      <c r="G229" s="210">
        <f>G230+G233</f>
        <v>3082.6499999999996</v>
      </c>
      <c r="H229" s="46">
        <f>SUMIFS(SM!$R:$R,SM!M:M,Q!E227)</f>
        <v>1242</v>
      </c>
      <c r="I229" s="76">
        <f t="shared" ref="I229:U229" si="552">(I230+I233)/(100%-I235)</f>
        <v>3070.1343206859092</v>
      </c>
      <c r="J229" s="4">
        <f t="shared" si="552"/>
        <v>3197.0813161572692</v>
      </c>
      <c r="K229" s="4">
        <f t="shared" si="552"/>
        <v>3325.3296726818744</v>
      </c>
      <c r="L229" s="4">
        <f t="shared" si="552"/>
        <v>3454.7540778811508</v>
      </c>
      <c r="M229" s="4">
        <f t="shared" si="552"/>
        <v>3585.3091492499748</v>
      </c>
      <c r="N229" s="4">
        <f t="shared" si="552"/>
        <v>3717.0550930989493</v>
      </c>
      <c r="O229" s="4">
        <f t="shared" si="552"/>
        <v>3849.9517523635159</v>
      </c>
      <c r="P229" s="4">
        <f t="shared" si="552"/>
        <v>3984.1500759691744</v>
      </c>
      <c r="Q229" s="4">
        <f t="shared" si="552"/>
        <v>4119.6635621848554</v>
      </c>
      <c r="R229" s="4">
        <f t="shared" si="552"/>
        <v>4256.5448682134274</v>
      </c>
      <c r="S229" s="4">
        <f t="shared" si="552"/>
        <v>4394.8227981716091</v>
      </c>
      <c r="T229" s="4">
        <f t="shared" si="552"/>
        <v>4534.6653269612198</v>
      </c>
      <c r="U229" s="4">
        <f t="shared" si="552"/>
        <v>4676.1852513180465</v>
      </c>
    </row>
    <row r="230" spans="1:36" ht="16.5" x14ac:dyDescent="0.35">
      <c r="A230" s="30" t="s">
        <v>126</v>
      </c>
      <c r="B230" s="31" t="s">
        <v>125</v>
      </c>
      <c r="C230" s="226">
        <f t="shared" si="550"/>
        <v>8.3387671232876706</v>
      </c>
      <c r="D230" s="226">
        <f t="shared" si="551"/>
        <v>11.389680528364133</v>
      </c>
      <c r="E230" s="46">
        <f>E231+E232</f>
        <v>2661.6600000000003</v>
      </c>
      <c r="F230" s="64">
        <f>F231+F232</f>
        <v>2550.1499599999988</v>
      </c>
      <c r="G230" s="64">
        <f>G231+G232</f>
        <v>3043.6499999999996</v>
      </c>
      <c r="H230" s="46"/>
      <c r="I230" s="48">
        <f t="shared" ref="I230:U230" si="553">I231+I232</f>
        <v>2711.7875552839851</v>
      </c>
      <c r="J230" s="12">
        <f t="shared" si="553"/>
        <v>2826.0398512082088</v>
      </c>
      <c r="K230" s="12">
        <f t="shared" si="553"/>
        <v>2941.4633720803536</v>
      </c>
      <c r="L230" s="12">
        <f t="shared" si="553"/>
        <v>3057.9453367597025</v>
      </c>
      <c r="M230" s="12">
        <f t="shared" si="553"/>
        <v>3175.4449009916439</v>
      </c>
      <c r="N230" s="12">
        <f t="shared" si="553"/>
        <v>3294.0162504557211</v>
      </c>
      <c r="O230" s="12">
        <f t="shared" si="553"/>
        <v>3413.6232437938311</v>
      </c>
      <c r="P230" s="12">
        <f t="shared" si="553"/>
        <v>3534.4017350389236</v>
      </c>
      <c r="Q230" s="12">
        <f t="shared" si="553"/>
        <v>3656.3638726330369</v>
      </c>
      <c r="R230" s="12">
        <f t="shared" si="553"/>
        <v>3779.5570480587517</v>
      </c>
      <c r="S230" s="12">
        <f t="shared" si="553"/>
        <v>3904.0071850211148</v>
      </c>
      <c r="T230" s="12">
        <f t="shared" si="553"/>
        <v>4029.8654609317641</v>
      </c>
      <c r="U230" s="12">
        <f t="shared" si="553"/>
        <v>4157.2333928529088</v>
      </c>
    </row>
    <row r="231" spans="1:36" ht="16.5" x14ac:dyDescent="0.35">
      <c r="A231" s="30" t="s">
        <v>127</v>
      </c>
      <c r="B231" s="31" t="s">
        <v>125</v>
      </c>
      <c r="C231" s="226">
        <f t="shared" si="550"/>
        <v>4.6891232876712321</v>
      </c>
      <c r="D231" s="226">
        <f t="shared" si="551"/>
        <v>8.7646759621540866</v>
      </c>
      <c r="E231" s="46">
        <f>ABS(SUMIFS(SM!F:F,SM!$C:$C,"ERA",SM!$D:$D,$E227))</f>
        <v>1915.7900000000004</v>
      </c>
      <c r="F231" s="46">
        <f>ABS(SUMIFS(SM!G:G,SM!$C:$C,"ERA",SM!$D:$D,$E227))</f>
        <v>1753.7599599999985</v>
      </c>
      <c r="G231" s="46">
        <f>ABS(SUMIFS(SM!H:H,SM!$C:$C,"ERA",SM!$D:$D,$E227))</f>
        <v>1711.5299999999997</v>
      </c>
      <c r="H231" s="64"/>
      <c r="I231" s="47">
        <f t="shared" ref="I231:U231" si="554">I236*I237/1000*365</f>
        <v>1753.6608886173183</v>
      </c>
      <c r="J231" s="4">
        <f t="shared" si="554"/>
        <v>1867.9131845415423</v>
      </c>
      <c r="K231" s="4">
        <f t="shared" si="554"/>
        <v>1983.3367054136868</v>
      </c>
      <c r="L231" s="4">
        <f t="shared" si="554"/>
        <v>2099.818670093036</v>
      </c>
      <c r="M231" s="4">
        <f t="shared" si="554"/>
        <v>2217.3182343249773</v>
      </c>
      <c r="N231" s="4">
        <f t="shared" si="554"/>
        <v>2335.8895837890545</v>
      </c>
      <c r="O231" s="4">
        <f t="shared" si="554"/>
        <v>2455.4965771271645</v>
      </c>
      <c r="P231" s="4">
        <f t="shared" si="554"/>
        <v>2576.275068372257</v>
      </c>
      <c r="Q231" s="4">
        <f t="shared" si="554"/>
        <v>2698.2372059663703</v>
      </c>
      <c r="R231" s="4">
        <f t="shared" si="554"/>
        <v>2821.4303813920851</v>
      </c>
      <c r="S231" s="4">
        <f t="shared" si="554"/>
        <v>2945.8805183544482</v>
      </c>
      <c r="T231" s="4">
        <f t="shared" si="554"/>
        <v>3071.7387942650976</v>
      </c>
      <c r="U231" s="4">
        <f t="shared" si="554"/>
        <v>3199.1067261862418</v>
      </c>
    </row>
    <row r="232" spans="1:36" ht="16.5" x14ac:dyDescent="0.35">
      <c r="A232" s="30" t="s">
        <v>497</v>
      </c>
      <c r="B232" s="31" t="s">
        <v>125</v>
      </c>
      <c r="C232" s="226">
        <f t="shared" si="550"/>
        <v>3.6496438356164385</v>
      </c>
      <c r="D232" s="226">
        <f t="shared" si="551"/>
        <v>2.6250045662100456</v>
      </c>
      <c r="E232" s="46">
        <f>ABS(SUMIFS(SM!F:F,SM!$C:$C,"JUR",SM!$D:$D,$E227))</f>
        <v>745.87</v>
      </c>
      <c r="F232" s="46">
        <f>ABS(SUMIFS(SM!G:G,SM!$C:$C,"JUR",SM!$D:$D,$E227))</f>
        <v>796.3900000000001</v>
      </c>
      <c r="G232" s="46">
        <f>ABS(SUMIFS(SM!H:H,SM!$C:$C,"JUR",SM!$D:$D,$E227))</f>
        <v>1332.1200000000001</v>
      </c>
      <c r="H232" s="64"/>
      <c r="I232" s="61">
        <f>AVERAGE(E232:G232)</f>
        <v>958.12666666666667</v>
      </c>
      <c r="J232" s="4">
        <f t="shared" ref="J232:U232" si="555">I232</f>
        <v>958.12666666666667</v>
      </c>
      <c r="K232" s="4">
        <f t="shared" si="555"/>
        <v>958.12666666666667</v>
      </c>
      <c r="L232" s="4">
        <f t="shared" si="555"/>
        <v>958.12666666666667</v>
      </c>
      <c r="M232" s="4">
        <f t="shared" si="555"/>
        <v>958.12666666666667</v>
      </c>
      <c r="N232" s="4">
        <f t="shared" si="555"/>
        <v>958.12666666666667</v>
      </c>
      <c r="O232" s="4">
        <f t="shared" si="555"/>
        <v>958.12666666666667</v>
      </c>
      <c r="P232" s="4">
        <f t="shared" si="555"/>
        <v>958.12666666666667</v>
      </c>
      <c r="Q232" s="4">
        <f t="shared" si="555"/>
        <v>958.12666666666667</v>
      </c>
      <c r="R232" s="4">
        <f t="shared" si="555"/>
        <v>958.12666666666667</v>
      </c>
      <c r="S232" s="4">
        <f t="shared" si="555"/>
        <v>958.12666666666667</v>
      </c>
      <c r="T232" s="4">
        <f t="shared" si="555"/>
        <v>958.12666666666667</v>
      </c>
      <c r="U232" s="4">
        <f t="shared" si="555"/>
        <v>958.12666666666667</v>
      </c>
    </row>
    <row r="233" spans="1:36" s="7" customFormat="1" ht="16.5" x14ac:dyDescent="0.35">
      <c r="A233" s="255" t="s">
        <v>524</v>
      </c>
      <c r="B233" s="256" t="s">
        <v>520</v>
      </c>
      <c r="C233" s="271">
        <f t="shared" si="550"/>
        <v>0.10684931506849316</v>
      </c>
      <c r="D233" s="271">
        <f t="shared" si="551"/>
        <v>0.14063926940639271</v>
      </c>
      <c r="E233" s="258">
        <f>ABS(SUMIFS(SM!F:F,SM!$C:$C,"OMA",SM!$D:$D,$E227))</f>
        <v>84</v>
      </c>
      <c r="F233" s="258">
        <f>ABS(SUMIFS(SM!G:G,SM!$C:$C,"OMA",SM!$D:$D,$E227))</f>
        <v>31</v>
      </c>
      <c r="G233" s="258">
        <f>ABS(SUMIFS(SM!H:H,SM!$C:$C,"OMA",SM!$D:$D,$E227))</f>
        <v>39</v>
      </c>
      <c r="H233" s="258"/>
      <c r="I233" s="275">
        <f>AVERAGE(E233:G233)</f>
        <v>51.333333333333336</v>
      </c>
      <c r="J233" s="259">
        <f t="shared" ref="J233:U233" si="556">I233</f>
        <v>51.333333333333336</v>
      </c>
      <c r="K233" s="259">
        <f t="shared" si="556"/>
        <v>51.333333333333336</v>
      </c>
      <c r="L233" s="259">
        <f t="shared" si="556"/>
        <v>51.333333333333336</v>
      </c>
      <c r="M233" s="259">
        <f t="shared" si="556"/>
        <v>51.333333333333336</v>
      </c>
      <c r="N233" s="259">
        <f t="shared" si="556"/>
        <v>51.333333333333336</v>
      </c>
      <c r="O233" s="259">
        <f t="shared" si="556"/>
        <v>51.333333333333336</v>
      </c>
      <c r="P233" s="259">
        <f t="shared" si="556"/>
        <v>51.333333333333336</v>
      </c>
      <c r="Q233" s="259">
        <f t="shared" si="556"/>
        <v>51.333333333333336</v>
      </c>
      <c r="R233" s="259">
        <f t="shared" si="556"/>
        <v>51.333333333333336</v>
      </c>
      <c r="S233" s="259">
        <f t="shared" si="556"/>
        <v>51.333333333333336</v>
      </c>
      <c r="T233" s="259">
        <f t="shared" si="556"/>
        <v>51.333333333333336</v>
      </c>
      <c r="U233" s="259">
        <f t="shared" si="556"/>
        <v>51.333333333333336</v>
      </c>
      <c r="W233" s="318"/>
      <c r="X233" s="332"/>
      <c r="Y233" s="332"/>
      <c r="Z233" s="332"/>
      <c r="AA233" s="332"/>
      <c r="AB233" s="332"/>
      <c r="AC233" s="332"/>
      <c r="AD233" s="332"/>
      <c r="AE233" s="332"/>
      <c r="AF233" s="332"/>
      <c r="AG233" s="332"/>
      <c r="AH233" s="332"/>
      <c r="AI233" s="332"/>
      <c r="AJ233" s="332"/>
    </row>
    <row r="234" spans="1:36" ht="16.5" x14ac:dyDescent="0.35">
      <c r="A234" s="30" t="s">
        <v>130</v>
      </c>
      <c r="B234" s="31" t="s">
        <v>125</v>
      </c>
      <c r="C234" s="232">
        <f t="shared" si="550"/>
        <v>0</v>
      </c>
      <c r="D234" s="226">
        <f t="shared" si="551"/>
        <v>1.2811466441967252</v>
      </c>
      <c r="E234" s="210">
        <f>E229-E230-E233</f>
        <v>93.339999999999691</v>
      </c>
      <c r="F234" s="210">
        <f>F229-F230-F233</f>
        <v>12.850040000001172</v>
      </c>
      <c r="G234" s="167">
        <f>G229-G230-G233</f>
        <v>0</v>
      </c>
      <c r="H234" s="64"/>
      <c r="I234" s="47">
        <f t="shared" ref="I234:U234" si="557">I235*I229</f>
        <v>307.01343206859093</v>
      </c>
      <c r="J234" s="4">
        <f t="shared" si="557"/>
        <v>319.70813161572693</v>
      </c>
      <c r="K234" s="4">
        <f t="shared" si="557"/>
        <v>332.53296726818746</v>
      </c>
      <c r="L234" s="4">
        <f t="shared" si="557"/>
        <v>345.47540778811509</v>
      </c>
      <c r="M234" s="4">
        <f t="shared" si="557"/>
        <v>358.53091492499749</v>
      </c>
      <c r="N234" s="4">
        <f t="shared" si="557"/>
        <v>371.70550930989498</v>
      </c>
      <c r="O234" s="4">
        <f t="shared" si="557"/>
        <v>384.9951752363516</v>
      </c>
      <c r="P234" s="4">
        <f t="shared" si="557"/>
        <v>398.41500759691746</v>
      </c>
      <c r="Q234" s="4">
        <f t="shared" si="557"/>
        <v>411.96635621848554</v>
      </c>
      <c r="R234" s="4">
        <f t="shared" si="557"/>
        <v>425.65448682134274</v>
      </c>
      <c r="S234" s="4">
        <f t="shared" si="557"/>
        <v>439.48227981716093</v>
      </c>
      <c r="T234" s="4">
        <f t="shared" si="557"/>
        <v>453.46653269612199</v>
      </c>
      <c r="U234" s="4">
        <f t="shared" si="557"/>
        <v>467.61852513180469</v>
      </c>
    </row>
    <row r="235" spans="1:36" x14ac:dyDescent="0.35">
      <c r="A235" s="30" t="s">
        <v>130</v>
      </c>
      <c r="B235" s="31" t="s">
        <v>131</v>
      </c>
      <c r="C235" s="179">
        <f>G235</f>
        <v>0</v>
      </c>
      <c r="D235" s="54">
        <f>U235</f>
        <v>0.1</v>
      </c>
      <c r="E235" s="212">
        <f>IFERROR(E234/E229,"")</f>
        <v>3.2877773864036522E-2</v>
      </c>
      <c r="F235" s="228">
        <f>IFERROR(F234/F229,"")</f>
        <v>4.9537548188130966E-3</v>
      </c>
      <c r="G235" s="168">
        <f>IFERROR(G234/G229,"")</f>
        <v>0</v>
      </c>
      <c r="H235" s="49"/>
      <c r="I235" s="362">
        <v>0.1</v>
      </c>
      <c r="J235" s="364">
        <f t="shared" ref="J235:U235" si="558">I235</f>
        <v>0.1</v>
      </c>
      <c r="K235" s="364">
        <f t="shared" si="558"/>
        <v>0.1</v>
      </c>
      <c r="L235" s="364">
        <f t="shared" si="558"/>
        <v>0.1</v>
      </c>
      <c r="M235" s="364">
        <f t="shared" si="558"/>
        <v>0.1</v>
      </c>
      <c r="N235" s="364">
        <f t="shared" si="558"/>
        <v>0.1</v>
      </c>
      <c r="O235" s="364">
        <f t="shared" si="558"/>
        <v>0.1</v>
      </c>
      <c r="P235" s="364">
        <f t="shared" si="558"/>
        <v>0.1</v>
      </c>
      <c r="Q235" s="364">
        <f t="shared" si="558"/>
        <v>0.1</v>
      </c>
      <c r="R235" s="364">
        <f t="shared" si="558"/>
        <v>0.1</v>
      </c>
      <c r="S235" s="364">
        <f t="shared" si="558"/>
        <v>0.1</v>
      </c>
      <c r="T235" s="364">
        <f t="shared" si="558"/>
        <v>0.1</v>
      </c>
      <c r="U235" s="364">
        <f t="shared" si="558"/>
        <v>0.1</v>
      </c>
      <c r="W235" s="319"/>
      <c r="X235" s="333"/>
      <c r="Y235" s="333"/>
      <c r="Z235" s="333"/>
      <c r="AA235" s="333"/>
      <c r="AB235" s="333"/>
      <c r="AC235" s="333"/>
      <c r="AD235" s="333"/>
      <c r="AE235" s="333"/>
      <c r="AF235" s="333"/>
      <c r="AG235" s="333"/>
      <c r="AH235" s="333"/>
      <c r="AI235" s="333"/>
      <c r="AJ235" s="333"/>
    </row>
    <row r="236" spans="1:36" x14ac:dyDescent="0.35">
      <c r="A236" s="30" t="s">
        <v>128</v>
      </c>
      <c r="B236" s="31" t="s">
        <v>129</v>
      </c>
      <c r="C236" s="53">
        <f>G236</f>
        <v>44.486577590495131</v>
      </c>
      <c r="D236" s="53">
        <f>U236</f>
        <v>75</v>
      </c>
      <c r="E236" s="46">
        <f>IFERROR(E231/E237/365*1000,0)</f>
        <v>53.720712789540052</v>
      </c>
      <c r="F236" s="46">
        <f>IFERROR(F231/F237/365*1000,0)</f>
        <v>47.465274314498927</v>
      </c>
      <c r="G236" s="46">
        <f>IFERROR(G231/G237/365*1000,0)</f>
        <v>44.486577590495131</v>
      </c>
      <c r="H236" s="46"/>
      <c r="I236" s="76">
        <f>G236</f>
        <v>44.486577590495131</v>
      </c>
      <c r="J236" s="4">
        <f>IF(I236=0,0,IF(I236&gt;Veehind!$B$16,I236,I236+(Veehind!$B$16-$I236)/12))</f>
        <v>47.029362791287205</v>
      </c>
      <c r="K236" s="4">
        <f>IF(J236=0,0,IF(J236&gt;Veehind!$B$16,J236,J236+(Veehind!$B$16-$I236)/12))</f>
        <v>49.57214799207928</v>
      </c>
      <c r="L236" s="4">
        <f>IF(K236=0,0,IF(K236&gt;Veehind!$B$16,K236,K236+(Veehind!$B$16-$I236)/12))</f>
        <v>52.114933192871355</v>
      </c>
      <c r="M236" s="4">
        <f>IF(L236=0,0,IF(L236&gt;Veehind!$B$16,L236,L236+(Veehind!$B$16-$I236)/12))</f>
        <v>54.65771839366343</v>
      </c>
      <c r="N236" s="4">
        <f>IF(M236=0,0,IF(M236&gt;Veehind!$B$16,M236,M236+(Veehind!$B$16-$I236)/12))</f>
        <v>57.200503594455505</v>
      </c>
      <c r="O236" s="4">
        <f>IF(N236=0,0,IF(N236&gt;Veehind!$B$16,N236,N236+(Veehind!$B$16-$I236)/12))</f>
        <v>59.74328879524758</v>
      </c>
      <c r="P236" s="4">
        <f>IF(O236=0,0,IF(O236&gt;Veehind!$B$16,O236,O236+(Veehind!$B$16-$I236)/12))</f>
        <v>62.286073996039654</v>
      </c>
      <c r="Q236" s="4">
        <f>IF(P236=0,0,IF(P236&gt;Veehind!$B$16,P236,P236+(Veehind!$B$16-$I236)/12))</f>
        <v>64.828859196831729</v>
      </c>
      <c r="R236" s="4">
        <f>IF(Q236=0,0,IF(Q236&gt;Veehind!$B$16,Q236,Q236+(Veehind!$B$16-$I236)/12))</f>
        <v>67.371644397623797</v>
      </c>
      <c r="S236" s="4">
        <f>IF(R236=0,0,IF(R236&gt;Veehind!$B$16,R236,R236+(Veehind!$B$16-$I236)/12))</f>
        <v>69.914429598415865</v>
      </c>
      <c r="T236" s="4">
        <f>IF(S236=0,0,IF(S236&gt;Veehind!$B$16,S236,S236+(Veehind!$B$16-$I236)/12))</f>
        <v>72.457214799207932</v>
      </c>
      <c r="U236" s="4">
        <f>IF(T236=0,0,IF(T236&gt;Veehind!$B$16,T236,T236+(Veehind!$B$16-$I236)/12))</f>
        <v>75</v>
      </c>
    </row>
    <row r="237" spans="1:36" x14ac:dyDescent="0.35">
      <c r="A237" s="77" t="s">
        <v>136</v>
      </c>
      <c r="B237" s="78" t="s">
        <v>137</v>
      </c>
      <c r="C237" s="355">
        <f>G237</f>
        <v>105.40535014482876</v>
      </c>
      <c r="D237" s="355">
        <f>U237</f>
        <v>116.86234616205448</v>
      </c>
      <c r="E237" s="213">
        <f>VLOOKUP($A227,Elanikud!$A$1:$S$20,Elanikud!B$21,FALSE)</f>
        <v>97.704208553416265</v>
      </c>
      <c r="F237" s="213">
        <f>VLOOKUP($A227,Elanikud!$A$1:$S$20,Elanikud!C$21,FALSE)</f>
        <v>101.2281478957233</v>
      </c>
      <c r="G237" s="213">
        <f>VLOOKUP($A227,Elanikud!$A$1:$S$20,Elanikud!D$21,FALSE)</f>
        <v>105.40535014482876</v>
      </c>
      <c r="H237" s="213">
        <f>VLOOKUP($A227,Elanikud!$A$1:$S$20,Elanikud!E$21,FALSE)</f>
        <v>108</v>
      </c>
      <c r="I237" s="62">
        <f>VLOOKUP($A227,Elanikud!$A$1:$S$20,Elanikud!E$21,FALSE)</f>
        <v>108</v>
      </c>
      <c r="J237" s="241">
        <f>VLOOKUP($A227,Elanikud!$A$1:$S$20,Elanikud!F$21,FALSE)</f>
        <v>108.81649388528524</v>
      </c>
      <c r="K237" s="241">
        <f>VLOOKUP($A227,Elanikud!$A$1:$S$20,Elanikud!G$21,FALSE)</f>
        <v>109.61395487204695</v>
      </c>
      <c r="L237" s="241">
        <f>VLOOKUP($A227,Elanikud!$A$1:$S$20,Elanikud!H$21,FALSE)</f>
        <v>110.38923991282249</v>
      </c>
      <c r="M237" s="241">
        <f>VLOOKUP($A227,Elanikud!$A$1:$S$20,Elanikud!I$21,FALSE)</f>
        <v>111.14339669009942</v>
      </c>
      <c r="N237" s="241">
        <f>VLOOKUP($A227,Elanikud!$A$1:$S$20,Elanikud!J$21,FALSE)</f>
        <v>111.88183823006332</v>
      </c>
      <c r="O237" s="241">
        <f>VLOOKUP($A227,Elanikud!$A$1:$S$20,Elanikud!K$21,FALSE)</f>
        <v>112.60491376021005</v>
      </c>
      <c r="P237" s="241">
        <f>VLOOKUP($A227,Elanikud!$A$1:$S$20,Elanikud!L$21,FALSE)</f>
        <v>113.32048089919613</v>
      </c>
      <c r="Q237" s="241">
        <f>VLOOKUP($A227,Elanikud!$A$1:$S$20,Elanikud!M$21,FALSE)</f>
        <v>114.02993655700492</v>
      </c>
      <c r="R237" s="241">
        <f>VLOOKUP($A227,Elanikud!$A$1:$S$20,Elanikud!N$21,FALSE)</f>
        <v>114.73589993985526</v>
      </c>
      <c r="S237" s="241">
        <f>VLOOKUP($A227,Elanikud!$A$1:$S$20,Elanikud!O$21,FALSE)</f>
        <v>115.43976795773052</v>
      </c>
      <c r="T237" s="241">
        <f>VLOOKUP($A227,Elanikud!$A$1:$S$20,Elanikud!P$21,FALSE)</f>
        <v>116.1474774780601</v>
      </c>
      <c r="U237" s="241">
        <f>VLOOKUP($A227,Elanikud!$A$1:$S$20,Elanikud!Q$21,FALSE)</f>
        <v>116.86234616205448</v>
      </c>
    </row>
    <row r="238" spans="1:36" x14ac:dyDescent="0.35">
      <c r="A238" s="35" t="s">
        <v>43</v>
      </c>
      <c r="B238" s="33"/>
      <c r="C238" s="33"/>
      <c r="D238" s="33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W238" s="319"/>
      <c r="X238" s="333"/>
      <c r="Y238" s="333"/>
      <c r="Z238" s="333"/>
      <c r="AA238" s="333"/>
      <c r="AB238" s="333"/>
      <c r="AC238" s="333"/>
      <c r="AD238" s="333"/>
      <c r="AE238" s="333"/>
      <c r="AF238" s="333"/>
      <c r="AG238" s="333"/>
      <c r="AH238" s="333"/>
      <c r="AI238" s="333"/>
      <c r="AJ238" s="333"/>
    </row>
    <row r="239" spans="1:36" ht="16.5" x14ac:dyDescent="0.35">
      <c r="A239" s="30" t="s">
        <v>132</v>
      </c>
      <c r="B239" s="31" t="s">
        <v>125</v>
      </c>
      <c r="C239" s="540">
        <f t="shared" ref="C239:C244" si="559">G239/365</f>
        <v>0</v>
      </c>
      <c r="D239" s="540">
        <f t="shared" ref="D239:D244" si="560">U239/365</f>
        <v>11.686234616205448</v>
      </c>
      <c r="E239" s="71">
        <f>ABS(SUMIFS(SM!I:I,SM!$C:$C,"too",SM!$D:$D,$E227))+E244</f>
        <v>0</v>
      </c>
      <c r="F239" s="71">
        <f>ABS(SUMIFS(SM!J:J,SM!$C:$C,"too",SM!$D:$D,$E227))+F244</f>
        <v>0</v>
      </c>
      <c r="G239" s="71">
        <f>ABS(SUMIFS(SM!K:K,SM!$C:$C,"too",SM!$D:$D,$E227))+G244</f>
        <v>0</v>
      </c>
      <c r="H239" s="45"/>
      <c r="I239" s="47">
        <f>(I240+I243)/(100%-I245)</f>
        <v>0</v>
      </c>
      <c r="J239" s="4">
        <f t="shared" ref="J239" si="561">(J240+J243)/(100%-J245)</f>
        <v>0</v>
      </c>
      <c r="K239" s="4">
        <f t="shared" ref="K239" si="562">(K240+K243)/(100%-K245)</f>
        <v>0</v>
      </c>
      <c r="L239" s="4">
        <f t="shared" ref="L239" si="563">(L240+L243)/(100%-L245)</f>
        <v>1399.8791133953575</v>
      </c>
      <c r="M239" s="4">
        <f t="shared" ref="M239" si="564">(M240+M243)/(100%-M245)</f>
        <v>2956.4243124333038</v>
      </c>
      <c r="N239" s="4">
        <f t="shared" ref="N239" si="565">(N240+N243)/(100%-N245)</f>
        <v>3114.5194450520735</v>
      </c>
      <c r="O239" s="4">
        <f t="shared" ref="O239" si="566">(O240+O243)/(100%-O245)</f>
        <v>3273.9954361695527</v>
      </c>
      <c r="P239" s="4">
        <f t="shared" ref="P239" si="567">(P240+P243)/(100%-P245)</f>
        <v>3435.0334244963428</v>
      </c>
      <c r="Q239" s="4">
        <f t="shared" ref="Q239" si="568">(Q240+Q243)/(100%-Q245)</f>
        <v>3597.6496079551612</v>
      </c>
      <c r="R239" s="4">
        <f t="shared" ref="R239" si="569">(R240+R243)/(100%-R245)</f>
        <v>3761.9071751894467</v>
      </c>
      <c r="S239" s="4">
        <f t="shared" ref="S239" si="570">(S240+S243)/(100%-S245)</f>
        <v>3927.8406911392649</v>
      </c>
      <c r="T239" s="4">
        <f t="shared" ref="T239" si="571">(T240+T243)/(100%-T245)</f>
        <v>4095.6517256867969</v>
      </c>
      <c r="U239" s="4">
        <f t="shared" ref="U239" si="572">(U240+U243)/(100%-U245)</f>
        <v>4265.4756349149884</v>
      </c>
      <c r="Z239" s="337"/>
      <c r="AA239" s="337"/>
      <c r="AB239" s="337"/>
      <c r="AC239" s="337"/>
      <c r="AD239" s="337"/>
      <c r="AE239" s="337"/>
      <c r="AF239" s="337"/>
      <c r="AG239" s="337"/>
      <c r="AH239" s="337"/>
      <c r="AI239" s="337"/>
      <c r="AJ239" s="337"/>
    </row>
    <row r="240" spans="1:36" ht="16.5" x14ac:dyDescent="0.35">
      <c r="A240" s="30" t="s">
        <v>133</v>
      </c>
      <c r="B240" s="31" t="s">
        <v>125</v>
      </c>
      <c r="C240" s="540">
        <f t="shared" si="559"/>
        <v>0</v>
      </c>
      <c r="D240" s="540">
        <f t="shared" si="560"/>
        <v>8.7646759621540866</v>
      </c>
      <c r="E240" s="71">
        <f>E241+E242</f>
        <v>0</v>
      </c>
      <c r="F240" s="71">
        <f>F241+F242</f>
        <v>0</v>
      </c>
      <c r="G240" s="71">
        <f>G241+G242</f>
        <v>0</v>
      </c>
      <c r="H240" s="45"/>
      <c r="I240" s="48">
        <f t="shared" ref="I240" si="573">I241+I242</f>
        <v>0</v>
      </c>
      <c r="J240" s="12">
        <f t="shared" ref="J240" si="574">J241+J242</f>
        <v>0</v>
      </c>
      <c r="K240" s="12">
        <f t="shared" ref="K240" si="575">K241+K242</f>
        <v>0</v>
      </c>
      <c r="L240" s="12">
        <f t="shared" ref="L240" si="576">L241+L242</f>
        <v>1049.9093350465182</v>
      </c>
      <c r="M240" s="12">
        <f t="shared" ref="M240" si="577">M241+M242</f>
        <v>2217.3182343249778</v>
      </c>
      <c r="N240" s="12">
        <f t="shared" ref="N240" si="578">N241+N242</f>
        <v>2335.889583789055</v>
      </c>
      <c r="O240" s="12">
        <f t="shared" ref="O240" si="579">O241+O242</f>
        <v>2455.4965771271645</v>
      </c>
      <c r="P240" s="12">
        <f t="shared" ref="P240" si="580">P241+P242</f>
        <v>2576.275068372257</v>
      </c>
      <c r="Q240" s="12">
        <f t="shared" ref="Q240" si="581">Q241+Q242</f>
        <v>2698.2372059663708</v>
      </c>
      <c r="R240" s="12">
        <f t="shared" ref="R240" si="582">R241+R242</f>
        <v>2821.4303813920851</v>
      </c>
      <c r="S240" s="12">
        <f t="shared" ref="S240" si="583">S241+S242</f>
        <v>2945.8805183544487</v>
      </c>
      <c r="T240" s="12">
        <f t="shared" ref="T240" si="584">T241+T242</f>
        <v>3071.7387942650976</v>
      </c>
      <c r="U240" s="12">
        <f t="shared" ref="U240" si="585">U241+U242</f>
        <v>3199.1067261862413</v>
      </c>
    </row>
    <row r="241" spans="1:36" ht="16.5" x14ac:dyDescent="0.35">
      <c r="A241" s="30" t="s">
        <v>134</v>
      </c>
      <c r="B241" s="31" t="s">
        <v>125</v>
      </c>
      <c r="C241" s="540">
        <f t="shared" si="559"/>
        <v>0</v>
      </c>
      <c r="D241" s="540">
        <f t="shared" si="560"/>
        <v>8.7646759621540866</v>
      </c>
      <c r="E241" s="45">
        <f>ABS(SUMIFS(SM!I:I,SM!$C:$C,"era",SM!$D:$D,$E227))</f>
        <v>0</v>
      </c>
      <c r="F241" s="45">
        <f>ABS(SUMIFS(SM!J:J,SM!$C:$C,"era",SM!$D:$D,$E227))</f>
        <v>0</v>
      </c>
      <c r="G241" s="45">
        <f>ABS(SUMIFS(SM!K:K,SM!$C:$C,"era",SM!$D:$D,$E227))</f>
        <v>0</v>
      </c>
      <c r="H241" s="71"/>
      <c r="I241" s="47">
        <f t="shared" ref="I241:U241" si="586">I247*I246*365/1000</f>
        <v>0</v>
      </c>
      <c r="J241" s="4">
        <f t="shared" si="586"/>
        <v>0</v>
      </c>
      <c r="K241" s="4">
        <f t="shared" si="586"/>
        <v>0</v>
      </c>
      <c r="L241" s="4">
        <f t="shared" si="586"/>
        <v>1049.9093350465182</v>
      </c>
      <c r="M241" s="4">
        <f t="shared" si="586"/>
        <v>2217.3182343249778</v>
      </c>
      <c r="N241" s="4">
        <f t="shared" si="586"/>
        <v>2335.889583789055</v>
      </c>
      <c r="O241" s="4">
        <f t="shared" si="586"/>
        <v>2455.4965771271645</v>
      </c>
      <c r="P241" s="4">
        <f t="shared" si="586"/>
        <v>2576.275068372257</v>
      </c>
      <c r="Q241" s="4">
        <f t="shared" si="586"/>
        <v>2698.2372059663708</v>
      </c>
      <c r="R241" s="4">
        <f t="shared" si="586"/>
        <v>2821.4303813920851</v>
      </c>
      <c r="S241" s="4">
        <f t="shared" si="586"/>
        <v>2945.8805183544487</v>
      </c>
      <c r="T241" s="4">
        <f t="shared" si="586"/>
        <v>3071.7387942650976</v>
      </c>
      <c r="U241" s="4">
        <f t="shared" si="586"/>
        <v>3199.1067261862413</v>
      </c>
    </row>
    <row r="242" spans="1:36" ht="16.5" x14ac:dyDescent="0.35">
      <c r="A242" s="30" t="s">
        <v>498</v>
      </c>
      <c r="B242" s="31" t="s">
        <v>125</v>
      </c>
      <c r="C242" s="540">
        <f t="shared" si="559"/>
        <v>0</v>
      </c>
      <c r="D242" s="540">
        <f t="shared" si="560"/>
        <v>0</v>
      </c>
      <c r="E242" s="45">
        <f>ABS(SUMIFS(SM!I:I,SM!$C:$C,"jur",SM!$D:$D,$E227))</f>
        <v>0</v>
      </c>
      <c r="F242" s="45">
        <f>ABS(SUMIFS(SM!J:J,SM!$C:$C,"jur",SM!$D:$D,$E227))</f>
        <v>0</v>
      </c>
      <c r="G242" s="45">
        <f>ABS(SUMIFS(SM!K:K,SM!$C:$C,"jur",SM!$D:$D,$E227))</f>
        <v>0</v>
      </c>
      <c r="H242" s="71"/>
      <c r="I242" s="76">
        <f>G242</f>
        <v>0</v>
      </c>
      <c r="J242" s="4">
        <f t="shared" ref="J242:U242" si="587">I242</f>
        <v>0</v>
      </c>
      <c r="K242" s="4">
        <f t="shared" si="587"/>
        <v>0</v>
      </c>
      <c r="L242" s="4">
        <f t="shared" si="587"/>
        <v>0</v>
      </c>
      <c r="M242" s="4">
        <f t="shared" si="587"/>
        <v>0</v>
      </c>
      <c r="N242" s="4">
        <f t="shared" si="587"/>
        <v>0</v>
      </c>
      <c r="O242" s="4">
        <f t="shared" si="587"/>
        <v>0</v>
      </c>
      <c r="P242" s="4">
        <f t="shared" si="587"/>
        <v>0</v>
      </c>
      <c r="Q242" s="4">
        <f t="shared" si="587"/>
        <v>0</v>
      </c>
      <c r="R242" s="4">
        <f t="shared" si="587"/>
        <v>0</v>
      </c>
      <c r="S242" s="4">
        <f t="shared" si="587"/>
        <v>0</v>
      </c>
      <c r="T242" s="4">
        <f t="shared" si="587"/>
        <v>0</v>
      </c>
      <c r="U242" s="4">
        <f t="shared" si="587"/>
        <v>0</v>
      </c>
    </row>
    <row r="243" spans="1:36" s="70" customFormat="1" x14ac:dyDescent="0.35">
      <c r="A243" s="260" t="s">
        <v>525</v>
      </c>
      <c r="B243" s="261" t="s">
        <v>521</v>
      </c>
      <c r="C243" s="542">
        <f t="shared" si="559"/>
        <v>0</v>
      </c>
      <c r="D243" s="542">
        <f t="shared" si="560"/>
        <v>0</v>
      </c>
      <c r="E243" s="263">
        <f>ABS(SUMIFS(SM!I:I,SM!$C:$C,"OMA",SM!$D:$D,$E227))</f>
        <v>0</v>
      </c>
      <c r="F243" s="263">
        <f>ABS(SUMIFS(SM!J:J,SM!$C:$C,"OMA",SM!$D:$D,$E227))</f>
        <v>0</v>
      </c>
      <c r="G243" s="263">
        <f>ABS(SUMIFS(SM!K:K,SM!$C:$C,"OMA",SM!$D:$D,$E227))</f>
        <v>0</v>
      </c>
      <c r="H243" s="263"/>
      <c r="I243" s="276">
        <f>IFERROR(AVERAGE(E243:G243),0)</f>
        <v>0</v>
      </c>
      <c r="J243" s="264">
        <f t="shared" ref="J243:U243" si="588">I243</f>
        <v>0</v>
      </c>
      <c r="K243" s="264">
        <f t="shared" si="588"/>
        <v>0</v>
      </c>
      <c r="L243" s="264">
        <f t="shared" si="588"/>
        <v>0</v>
      </c>
      <c r="M243" s="264">
        <f t="shared" si="588"/>
        <v>0</v>
      </c>
      <c r="N243" s="264">
        <f t="shared" si="588"/>
        <v>0</v>
      </c>
      <c r="O243" s="264">
        <f t="shared" si="588"/>
        <v>0</v>
      </c>
      <c r="P243" s="264">
        <f t="shared" si="588"/>
        <v>0</v>
      </c>
      <c r="Q243" s="264">
        <f t="shared" si="588"/>
        <v>0</v>
      </c>
      <c r="R243" s="264">
        <f t="shared" si="588"/>
        <v>0</v>
      </c>
      <c r="S243" s="264">
        <f t="shared" si="588"/>
        <v>0</v>
      </c>
      <c r="T243" s="264">
        <f t="shared" si="588"/>
        <v>0</v>
      </c>
      <c r="U243" s="264">
        <f t="shared" si="588"/>
        <v>0</v>
      </c>
      <c r="W243" s="318"/>
      <c r="X243" s="332"/>
      <c r="Y243" s="332"/>
      <c r="Z243" s="332"/>
      <c r="AA243" s="332"/>
      <c r="AB243" s="332"/>
      <c r="AC243" s="332"/>
      <c r="AD243" s="332"/>
      <c r="AE243" s="332"/>
      <c r="AF243" s="332"/>
      <c r="AG243" s="332"/>
      <c r="AH243" s="332"/>
      <c r="AI243" s="332"/>
      <c r="AJ243" s="332"/>
    </row>
    <row r="244" spans="1:36" ht="16.5" x14ac:dyDescent="0.35">
      <c r="A244" s="30" t="s">
        <v>135</v>
      </c>
      <c r="B244" s="31" t="s">
        <v>125</v>
      </c>
      <c r="C244" s="540">
        <f t="shared" si="559"/>
        <v>0</v>
      </c>
      <c r="D244" s="540">
        <f t="shared" si="560"/>
        <v>2.9215586540513621</v>
      </c>
      <c r="E244" s="71">
        <f>ABS(SUMIFS(SM!I:I,SM!$C:$C,"KAD",SM!$D:$D,$E227))</f>
        <v>0</v>
      </c>
      <c r="F244" s="71">
        <f>ABS(SUMIFS(SM!J:J,SM!$C:$C,"KAD",SM!$D:$D,$E227))</f>
        <v>0</v>
      </c>
      <c r="G244" s="71">
        <f>ABS(SUMIFS(SM!K:K,SM!$C:$C,"KAD",SM!$D:$D,$E227))</f>
        <v>0</v>
      </c>
      <c r="H244" s="45"/>
      <c r="I244" s="47">
        <f>I245*I239</f>
        <v>0</v>
      </c>
      <c r="J244" s="4">
        <f t="shared" ref="J244" si="589">J245*J239</f>
        <v>0</v>
      </c>
      <c r="K244" s="4">
        <f t="shared" ref="K244" si="590">K245*K239</f>
        <v>0</v>
      </c>
      <c r="L244" s="4">
        <f t="shared" ref="L244" si="591">L245*L239</f>
        <v>349.96977834883938</v>
      </c>
      <c r="M244" s="4">
        <f t="shared" ref="M244" si="592">M245*M239</f>
        <v>739.10607810832596</v>
      </c>
      <c r="N244" s="4">
        <f t="shared" ref="N244" si="593">N245*N239</f>
        <v>778.62986126301837</v>
      </c>
      <c r="O244" s="4">
        <f t="shared" ref="O244" si="594">O245*O239</f>
        <v>818.49885904238818</v>
      </c>
      <c r="P244" s="4">
        <f t="shared" ref="P244" si="595">P245*P239</f>
        <v>858.75835612408571</v>
      </c>
      <c r="Q244" s="4">
        <f t="shared" ref="Q244" si="596">Q245*Q239</f>
        <v>899.41240198879029</v>
      </c>
      <c r="R244" s="4">
        <f t="shared" ref="R244" si="597">R245*R239</f>
        <v>940.47679379736167</v>
      </c>
      <c r="S244" s="4">
        <f t="shared" ref="S244" si="598">S245*S239</f>
        <v>981.96017278481622</v>
      </c>
      <c r="T244" s="4">
        <f t="shared" ref="T244" si="599">T245*T239</f>
        <v>1023.9129314216992</v>
      </c>
      <c r="U244" s="4">
        <f t="shared" ref="U244" si="600">U245*U239</f>
        <v>1066.3689087287471</v>
      </c>
    </row>
    <row r="245" spans="1:36" x14ac:dyDescent="0.35">
      <c r="A245" s="30" t="s">
        <v>135</v>
      </c>
      <c r="B245" s="31" t="s">
        <v>131</v>
      </c>
      <c r="C245" s="73" t="str">
        <f>G245</f>
        <v/>
      </c>
      <c r="D245" s="54">
        <f>U245</f>
        <v>0.25</v>
      </c>
      <c r="E245" s="50" t="str">
        <f>IFERROR(E244/E239,"")</f>
        <v/>
      </c>
      <c r="F245" s="50" t="str">
        <f>IFERROR(F244/F239,"")</f>
        <v/>
      </c>
      <c r="G245" s="50" t="str">
        <f>IFERROR(G244/G239,"")</f>
        <v/>
      </c>
      <c r="H245" s="50" t="str">
        <f>IFERROR(H244/H239,"")</f>
        <v/>
      </c>
      <c r="I245" s="186">
        <v>0</v>
      </c>
      <c r="J245" s="38">
        <f t="shared" ref="J245:U245" si="601">I245</f>
        <v>0</v>
      </c>
      <c r="K245" s="38">
        <v>0.25</v>
      </c>
      <c r="L245" s="38">
        <f t="shared" si="601"/>
        <v>0.25</v>
      </c>
      <c r="M245" s="38">
        <f t="shared" si="601"/>
        <v>0.25</v>
      </c>
      <c r="N245" s="38">
        <f t="shared" si="601"/>
        <v>0.25</v>
      </c>
      <c r="O245" s="38">
        <f t="shared" si="601"/>
        <v>0.25</v>
      </c>
      <c r="P245" s="38">
        <f t="shared" si="601"/>
        <v>0.25</v>
      </c>
      <c r="Q245" s="38">
        <f t="shared" si="601"/>
        <v>0.25</v>
      </c>
      <c r="R245" s="38">
        <f t="shared" si="601"/>
        <v>0.25</v>
      </c>
      <c r="S245" s="38">
        <f t="shared" si="601"/>
        <v>0.25</v>
      </c>
      <c r="T245" s="38">
        <f t="shared" si="601"/>
        <v>0.25</v>
      </c>
      <c r="U245" s="38">
        <f t="shared" si="601"/>
        <v>0.25</v>
      </c>
    </row>
    <row r="246" spans="1:36" s="70" customFormat="1" x14ac:dyDescent="0.35">
      <c r="A246" s="181" t="s">
        <v>128</v>
      </c>
      <c r="B246" s="182" t="s">
        <v>129</v>
      </c>
      <c r="C246" s="211">
        <f>G246</f>
        <v>0</v>
      </c>
      <c r="D246" s="211">
        <f>U246</f>
        <v>75</v>
      </c>
      <c r="E246" s="71">
        <f>IFERROR(E241/E247/365*1000,0)</f>
        <v>0</v>
      </c>
      <c r="F246" s="71">
        <f>IFERROR(F241/F247/365*1000,0)</f>
        <v>0</v>
      </c>
      <c r="G246" s="71">
        <f>IFERROR(G241/G247/365*1000,0)</f>
        <v>0</v>
      </c>
      <c r="H246" s="71"/>
      <c r="I246" s="76">
        <f>G246</f>
        <v>0</v>
      </c>
      <c r="J246" s="4">
        <f>IF(I246=0,0,IF(I246&gt;Veehind!$B$16,I246,I246+(Veehind!$B$16-$I246)/12))</f>
        <v>0</v>
      </c>
      <c r="K246" s="4">
        <f>K236</f>
        <v>49.57214799207928</v>
      </c>
      <c r="L246" s="4">
        <f t="shared" ref="L246:U246" si="602">L236</f>
        <v>52.114933192871355</v>
      </c>
      <c r="M246" s="4">
        <f t="shared" si="602"/>
        <v>54.65771839366343</v>
      </c>
      <c r="N246" s="4">
        <f t="shared" si="602"/>
        <v>57.200503594455505</v>
      </c>
      <c r="O246" s="4">
        <f t="shared" si="602"/>
        <v>59.74328879524758</v>
      </c>
      <c r="P246" s="4">
        <f t="shared" si="602"/>
        <v>62.286073996039654</v>
      </c>
      <c r="Q246" s="4">
        <f t="shared" si="602"/>
        <v>64.828859196831729</v>
      </c>
      <c r="R246" s="4">
        <f t="shared" si="602"/>
        <v>67.371644397623797</v>
      </c>
      <c r="S246" s="4">
        <f t="shared" si="602"/>
        <v>69.914429598415865</v>
      </c>
      <c r="T246" s="4">
        <f t="shared" si="602"/>
        <v>72.457214799207932</v>
      </c>
      <c r="U246" s="4">
        <f t="shared" si="602"/>
        <v>75</v>
      </c>
      <c r="W246" s="320"/>
      <c r="X246" s="334"/>
      <c r="Y246" s="334"/>
      <c r="Z246" s="334"/>
      <c r="AA246" s="334"/>
      <c r="AB246" s="334"/>
      <c r="AC246" s="334"/>
      <c r="AD246" s="334"/>
      <c r="AE246" s="334"/>
      <c r="AF246" s="334"/>
      <c r="AG246" s="334"/>
      <c r="AH246" s="334"/>
      <c r="AI246" s="334"/>
      <c r="AJ246" s="334"/>
    </row>
    <row r="247" spans="1:36" s="37" customFormat="1" x14ac:dyDescent="0.35">
      <c r="A247" s="77" t="s">
        <v>136</v>
      </c>
      <c r="B247" s="78" t="s">
        <v>137</v>
      </c>
      <c r="C247" s="355">
        <f>G247</f>
        <v>0</v>
      </c>
      <c r="D247" s="355">
        <f>U247</f>
        <v>116.86234616205448</v>
      </c>
      <c r="E247" s="215">
        <f>VLOOKUP($A227,Elanikud!$A$22:$S$41,Elanikud!B$21,FALSE)</f>
        <v>0</v>
      </c>
      <c r="F247" s="215">
        <f>VLOOKUP($A227,Elanikud!$A$22:$S$41,Elanikud!C$21,FALSE)</f>
        <v>0</v>
      </c>
      <c r="G247" s="215">
        <f>VLOOKUP($A227,Elanikud!$A$22:$S$41,Elanikud!D$21,FALSE)</f>
        <v>0</v>
      </c>
      <c r="H247" s="215">
        <f>VLOOKUP($A227,Elanikud!$A$22:$S$41,Elanikud!E$21,FALSE)</f>
        <v>0</v>
      </c>
      <c r="I247" s="62">
        <f>VLOOKUP($A227,Elanikud!$A$22:$S$41,Elanikud!E$21,FALSE)</f>
        <v>0</v>
      </c>
      <c r="J247" s="241">
        <f>VLOOKUP($A227,Elanikud!$A$22:$S$41,Elanikud!F$21,FALSE)</f>
        <v>0</v>
      </c>
      <c r="K247" s="241">
        <f>VLOOKUP($A227,Elanikud!$A$22:$S$41,Elanikud!G$21,FALSE)</f>
        <v>0</v>
      </c>
      <c r="L247" s="241">
        <f>VLOOKUP($A227,Elanikud!$A$22:$S$41,Elanikud!H$21,FALSE)</f>
        <v>55.194619956411245</v>
      </c>
      <c r="M247" s="241">
        <f>VLOOKUP($A227,Elanikud!$A$22:$S$41,Elanikud!I$21,FALSE)</f>
        <v>111.14339669009942</v>
      </c>
      <c r="N247" s="241">
        <f>VLOOKUP($A227,Elanikud!$A$22:$S$41,Elanikud!J$21,FALSE)</f>
        <v>111.88183823006332</v>
      </c>
      <c r="O247" s="241">
        <f>VLOOKUP($A227,Elanikud!$A$22:$S$41,Elanikud!K$21,FALSE)</f>
        <v>112.60491376021005</v>
      </c>
      <c r="P247" s="241">
        <f>VLOOKUP($A227,Elanikud!$A$22:$S$41,Elanikud!L$21,FALSE)</f>
        <v>113.32048089919613</v>
      </c>
      <c r="Q247" s="241">
        <f>VLOOKUP($A227,Elanikud!$A$22:$S$41,Elanikud!M$21,FALSE)</f>
        <v>114.02993655700492</v>
      </c>
      <c r="R247" s="241">
        <f>VLOOKUP($A227,Elanikud!$A$22:$S$41,Elanikud!N$21,FALSE)</f>
        <v>114.73589993985526</v>
      </c>
      <c r="S247" s="241">
        <f>VLOOKUP($A227,Elanikud!$A$22:$S$41,Elanikud!O$21,FALSE)</f>
        <v>115.43976795773052</v>
      </c>
      <c r="T247" s="241">
        <f>VLOOKUP($A227,Elanikud!$A$22:$S$41,Elanikud!P$21,FALSE)</f>
        <v>116.1474774780601</v>
      </c>
      <c r="U247" s="241">
        <f>VLOOKUP($A227,Elanikud!$A$22:$S$41,Elanikud!Q$21,FALSE)</f>
        <v>116.86234616205448</v>
      </c>
      <c r="V247"/>
      <c r="W247" s="318"/>
      <c r="X247" s="332"/>
      <c r="Y247" s="332"/>
      <c r="Z247" s="332"/>
      <c r="AA247" s="332"/>
      <c r="AB247" s="332"/>
      <c r="AC247" s="332"/>
      <c r="AD247" s="332"/>
      <c r="AE247" s="332"/>
      <c r="AF247" s="332"/>
      <c r="AG247" s="332"/>
      <c r="AH247" s="332"/>
      <c r="AI247" s="332"/>
      <c r="AJ247" s="332"/>
    </row>
    <row r="248" spans="1:36" collapsed="1" x14ac:dyDescent="0.35">
      <c r="A248" s="36" t="s">
        <v>437</v>
      </c>
      <c r="B248" s="36"/>
      <c r="C248" s="36"/>
      <c r="D248" s="36"/>
      <c r="E248" s="41" t="s">
        <v>437</v>
      </c>
      <c r="F248" s="41"/>
      <c r="G248" s="41"/>
      <c r="H248" s="41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36" x14ac:dyDescent="0.35">
      <c r="A249" s="34" t="s">
        <v>21</v>
      </c>
      <c r="B249" s="32"/>
      <c r="C249" s="32"/>
      <c r="D249" s="32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</row>
    <row r="250" spans="1:36" ht="16.5" x14ac:dyDescent="0.35">
      <c r="A250" s="30" t="s">
        <v>124</v>
      </c>
      <c r="B250" s="31" t="s">
        <v>125</v>
      </c>
      <c r="C250" s="225">
        <f t="shared" ref="C250:C255" si="603">G250/365</f>
        <v>37.375342465753427</v>
      </c>
      <c r="D250" s="225">
        <f t="shared" ref="D250:D255" si="604">U250/365</f>
        <v>38.826930428921983</v>
      </c>
      <c r="E250" s="46">
        <f>SUMIFS(SM!F:F,SM!$C:$C,"TOO",SM!$D:$D,$E248)</f>
        <v>13400</v>
      </c>
      <c r="F250" s="46">
        <f>SUMIFS(SM!G:G,SM!$C:$C,"TOO",SM!$D:$D,$E248)</f>
        <v>14054</v>
      </c>
      <c r="G250" s="64">
        <f>SUMIFS(SM!H:H,SM!$C:$C,"TOO",SM!$D:$D,$E248)</f>
        <v>13642</v>
      </c>
      <c r="H250" s="46">
        <f>SUMIFS(SM!$R:$R,SM!M:M,Q!E248)</f>
        <v>7324</v>
      </c>
      <c r="I250" s="76">
        <f t="shared" ref="I250:U250" si="605">(I251+I254)/(100%-I256)</f>
        <v>13166.785714285714</v>
      </c>
      <c r="J250" s="4">
        <f t="shared" si="605"/>
        <v>13259.381080961411</v>
      </c>
      <c r="K250" s="4">
        <f t="shared" si="605"/>
        <v>13349.818001322385</v>
      </c>
      <c r="L250" s="4">
        <f t="shared" si="605"/>
        <v>13437.740034692806</v>
      </c>
      <c r="M250" s="4">
        <f t="shared" si="605"/>
        <v>13523.265994631285</v>
      </c>
      <c r="N250" s="4">
        <f t="shared" si="605"/>
        <v>13607.009751190637</v>
      </c>
      <c r="O250" s="4">
        <f t="shared" si="605"/>
        <v>13689.010908890394</v>
      </c>
      <c r="P250" s="4">
        <f t="shared" si="605"/>
        <v>13770.160569420121</v>
      </c>
      <c r="Q250" s="4">
        <f t="shared" si="605"/>
        <v>13850.617150857963</v>
      </c>
      <c r="R250" s="4">
        <f t="shared" si="605"/>
        <v>13930.677687100444</v>
      </c>
      <c r="S250" s="4">
        <f t="shared" si="605"/>
        <v>14010.500596225706</v>
      </c>
      <c r="T250" s="4">
        <f t="shared" si="605"/>
        <v>14090.759155065867</v>
      </c>
      <c r="U250" s="4">
        <f t="shared" si="605"/>
        <v>14171.829606556523</v>
      </c>
    </row>
    <row r="251" spans="1:36" ht="16.5" x14ac:dyDescent="0.35">
      <c r="A251" s="30" t="s">
        <v>126</v>
      </c>
      <c r="B251" s="31" t="s">
        <v>125</v>
      </c>
      <c r="C251" s="226">
        <f t="shared" si="603"/>
        <v>30.351123287671232</v>
      </c>
      <c r="D251" s="226">
        <f t="shared" si="604"/>
        <v>33.88213692940878</v>
      </c>
      <c r="E251" s="46">
        <f>E252+E253</f>
        <v>10761.300000000001</v>
      </c>
      <c r="F251" s="64">
        <f>F252+F253</f>
        <v>11368.57</v>
      </c>
      <c r="G251" s="64">
        <f>G252+G253</f>
        <v>11078.16</v>
      </c>
      <c r="H251" s="46"/>
      <c r="I251" s="48">
        <f t="shared" ref="I251:U251" si="606">I252+I253</f>
        <v>11462.440476190477</v>
      </c>
      <c r="J251" s="12">
        <f t="shared" si="606"/>
        <v>11545.776306198604</v>
      </c>
      <c r="K251" s="12">
        <f t="shared" si="606"/>
        <v>11627.16953452348</v>
      </c>
      <c r="L251" s="12">
        <f t="shared" si="606"/>
        <v>11706.29936455686</v>
      </c>
      <c r="M251" s="12">
        <f t="shared" si="606"/>
        <v>11783.272728501492</v>
      </c>
      <c r="N251" s="12">
        <f t="shared" si="606"/>
        <v>11858.642109404907</v>
      </c>
      <c r="O251" s="12">
        <f t="shared" si="606"/>
        <v>11932.443151334688</v>
      </c>
      <c r="P251" s="12">
        <f t="shared" si="606"/>
        <v>12005.477845811443</v>
      </c>
      <c r="Q251" s="12">
        <f t="shared" si="606"/>
        <v>12077.888769105501</v>
      </c>
      <c r="R251" s="12">
        <f t="shared" si="606"/>
        <v>12149.943251723735</v>
      </c>
      <c r="S251" s="12">
        <f t="shared" si="606"/>
        <v>12221.783869936469</v>
      </c>
      <c r="T251" s="12">
        <f t="shared" si="606"/>
        <v>12294.016572892615</v>
      </c>
      <c r="U251" s="12">
        <f t="shared" si="606"/>
        <v>12366.979979234206</v>
      </c>
    </row>
    <row r="252" spans="1:36" ht="16.5" x14ac:dyDescent="0.35">
      <c r="A252" s="30" t="s">
        <v>127</v>
      </c>
      <c r="B252" s="31" t="s">
        <v>125</v>
      </c>
      <c r="C252" s="226">
        <f t="shared" si="603"/>
        <v>29.497863013698627</v>
      </c>
      <c r="D252" s="226">
        <f t="shared" si="604"/>
        <v>32.678383504751245</v>
      </c>
      <c r="E252" s="46">
        <f>ABS(SUMIFS(SM!F:F,SM!$C:$C,"ERA",SM!$D:$D,$E248))</f>
        <v>10230.660000000002</v>
      </c>
      <c r="F252" s="46">
        <f>ABS(SUMIFS(SM!G:G,SM!$C:$C,"ERA",SM!$D:$D,$E248))</f>
        <v>10892.539999999999</v>
      </c>
      <c r="G252" s="46">
        <f>ABS(SUMIFS(SM!H:H,SM!$C:$C,"ERA",SM!$D:$D,$E248))</f>
        <v>10766.72</v>
      </c>
      <c r="H252" s="64"/>
      <c r="I252" s="47">
        <f t="shared" ref="I252:U252" si="607">I257*I258/1000*365</f>
        <v>11023.070476190476</v>
      </c>
      <c r="J252" s="4">
        <f t="shared" si="607"/>
        <v>11106.406306198603</v>
      </c>
      <c r="K252" s="4">
        <f t="shared" si="607"/>
        <v>11187.799534523479</v>
      </c>
      <c r="L252" s="4">
        <f t="shared" si="607"/>
        <v>11266.92936455686</v>
      </c>
      <c r="M252" s="4">
        <f t="shared" si="607"/>
        <v>11343.902728501491</v>
      </c>
      <c r="N252" s="4">
        <f t="shared" si="607"/>
        <v>11419.272109404907</v>
      </c>
      <c r="O252" s="4">
        <f t="shared" si="607"/>
        <v>11493.073151334687</v>
      </c>
      <c r="P252" s="4">
        <f t="shared" si="607"/>
        <v>11566.107845811443</v>
      </c>
      <c r="Q252" s="4">
        <f t="shared" si="607"/>
        <v>11638.5187691055</v>
      </c>
      <c r="R252" s="4">
        <f t="shared" si="607"/>
        <v>11710.573251723734</v>
      </c>
      <c r="S252" s="4">
        <f t="shared" si="607"/>
        <v>11782.413869936468</v>
      </c>
      <c r="T252" s="4">
        <f t="shared" si="607"/>
        <v>11854.646572892614</v>
      </c>
      <c r="U252" s="4">
        <f t="shared" si="607"/>
        <v>11927.609979234205</v>
      </c>
    </row>
    <row r="253" spans="1:36" ht="16.5" x14ac:dyDescent="0.35">
      <c r="A253" s="30" t="s">
        <v>497</v>
      </c>
      <c r="B253" s="31" t="s">
        <v>125</v>
      </c>
      <c r="C253" s="226">
        <f t="shared" si="603"/>
        <v>0.85326027397260273</v>
      </c>
      <c r="D253" s="226">
        <f t="shared" si="604"/>
        <v>1.2037534246575343</v>
      </c>
      <c r="E253" s="46">
        <f>ABS(SUMIFS(SM!F:F,SM!$C:$C,"JUR",SM!$D:$D,$E248))</f>
        <v>530.64</v>
      </c>
      <c r="F253" s="46">
        <f>ABS(SUMIFS(SM!G:G,SM!$C:$C,"JUR",SM!$D:$D,$E248))</f>
        <v>476.03000000000003</v>
      </c>
      <c r="G253" s="46">
        <f>ABS(SUMIFS(SM!H:H,SM!$C:$C,"JUR",SM!$D:$D,$E248))</f>
        <v>311.44</v>
      </c>
      <c r="H253" s="64"/>
      <c r="I253" s="61">
        <f>AVERAGE(E253:G253)</f>
        <v>439.37000000000006</v>
      </c>
      <c r="J253" s="4">
        <f t="shared" ref="J253:U253" si="608">I253</f>
        <v>439.37000000000006</v>
      </c>
      <c r="K253" s="4">
        <f t="shared" si="608"/>
        <v>439.37000000000006</v>
      </c>
      <c r="L253" s="4">
        <f t="shared" si="608"/>
        <v>439.37000000000006</v>
      </c>
      <c r="M253" s="4">
        <f t="shared" si="608"/>
        <v>439.37000000000006</v>
      </c>
      <c r="N253" s="4">
        <f t="shared" si="608"/>
        <v>439.37000000000006</v>
      </c>
      <c r="O253" s="4">
        <f t="shared" si="608"/>
        <v>439.37000000000006</v>
      </c>
      <c r="P253" s="4">
        <f t="shared" si="608"/>
        <v>439.37000000000006</v>
      </c>
      <c r="Q253" s="4">
        <f t="shared" si="608"/>
        <v>439.37000000000006</v>
      </c>
      <c r="R253" s="4">
        <f t="shared" si="608"/>
        <v>439.37000000000006</v>
      </c>
      <c r="S253" s="4">
        <f t="shared" si="608"/>
        <v>439.37000000000006</v>
      </c>
      <c r="T253" s="4">
        <f t="shared" si="608"/>
        <v>439.37000000000006</v>
      </c>
      <c r="U253" s="4">
        <f t="shared" si="608"/>
        <v>439.37000000000006</v>
      </c>
    </row>
    <row r="254" spans="1:36" s="7" customFormat="1" ht="16.5" x14ac:dyDescent="0.35">
      <c r="A254" s="255" t="s">
        <v>524</v>
      </c>
      <c r="B254" s="256" t="s">
        <v>520</v>
      </c>
      <c r="C254" s="271">
        <f t="shared" si="603"/>
        <v>1.5506849315068494</v>
      </c>
      <c r="D254" s="271">
        <f t="shared" si="604"/>
        <v>1.0621004566210046</v>
      </c>
      <c r="E254" s="258">
        <f>ABS(SUMIFS(SM!F:F,SM!$C:$C,"OMA",SM!$D:$D,$E248))</f>
        <v>235</v>
      </c>
      <c r="F254" s="258">
        <f>ABS(SUMIFS(SM!G:G,SM!$C:$C,"OMA",SM!$D:$D,$E248))</f>
        <v>362</v>
      </c>
      <c r="G254" s="258">
        <f>ABS(SUMIFS(SM!H:H,SM!$C:$C,"OMA",SM!$D:$D,$E248))</f>
        <v>566</v>
      </c>
      <c r="H254" s="258"/>
      <c r="I254" s="275">
        <f>AVERAGE(E254:G254)</f>
        <v>387.66666666666669</v>
      </c>
      <c r="J254" s="259">
        <f t="shared" ref="J254:U254" si="609">I254</f>
        <v>387.66666666666669</v>
      </c>
      <c r="K254" s="259">
        <f t="shared" si="609"/>
        <v>387.66666666666669</v>
      </c>
      <c r="L254" s="259">
        <f t="shared" si="609"/>
        <v>387.66666666666669</v>
      </c>
      <c r="M254" s="259">
        <f t="shared" si="609"/>
        <v>387.66666666666669</v>
      </c>
      <c r="N254" s="259">
        <f t="shared" si="609"/>
        <v>387.66666666666669</v>
      </c>
      <c r="O254" s="259">
        <f t="shared" si="609"/>
        <v>387.66666666666669</v>
      </c>
      <c r="P254" s="259">
        <f t="shared" si="609"/>
        <v>387.66666666666669</v>
      </c>
      <c r="Q254" s="259">
        <f t="shared" si="609"/>
        <v>387.66666666666669</v>
      </c>
      <c r="R254" s="259">
        <f t="shared" si="609"/>
        <v>387.66666666666669</v>
      </c>
      <c r="S254" s="259">
        <f t="shared" si="609"/>
        <v>387.66666666666669</v>
      </c>
      <c r="T254" s="259">
        <f t="shared" si="609"/>
        <v>387.66666666666669</v>
      </c>
      <c r="U254" s="259">
        <f t="shared" si="609"/>
        <v>387.66666666666669</v>
      </c>
      <c r="W254" s="318"/>
      <c r="X254" s="332"/>
      <c r="Y254" s="332"/>
      <c r="Z254" s="332"/>
      <c r="AA254" s="332"/>
      <c r="AB254" s="332"/>
      <c r="AC254" s="332"/>
      <c r="AD254" s="332"/>
      <c r="AE254" s="332"/>
      <c r="AF254" s="332"/>
      <c r="AG254" s="332"/>
      <c r="AH254" s="332"/>
      <c r="AI254" s="332"/>
      <c r="AJ254" s="332"/>
    </row>
    <row r="255" spans="1:36" ht="16.5" x14ac:dyDescent="0.35">
      <c r="A255" s="30" t="s">
        <v>130</v>
      </c>
      <c r="B255" s="31" t="s">
        <v>125</v>
      </c>
      <c r="C255" s="225">
        <f t="shared" si="603"/>
        <v>5.4735342465753432</v>
      </c>
      <c r="D255" s="226">
        <f t="shared" si="604"/>
        <v>3.882693042892198</v>
      </c>
      <c r="E255" s="210">
        <f>E250-E251-E254</f>
        <v>2403.6999999999989</v>
      </c>
      <c r="F255" s="210">
        <f>F250-F251-F254</f>
        <v>2323.4300000000003</v>
      </c>
      <c r="G255" s="210">
        <f>G250-G251-G254</f>
        <v>1997.8400000000001</v>
      </c>
      <c r="H255" s="64"/>
      <c r="I255" s="47">
        <f t="shared" ref="I255:U255" si="610">I256*I250</f>
        <v>1316.6785714285716</v>
      </c>
      <c r="J255" s="4">
        <f t="shared" si="610"/>
        <v>1325.9381080961411</v>
      </c>
      <c r="K255" s="4">
        <f t="shared" si="610"/>
        <v>1334.9818001322385</v>
      </c>
      <c r="L255" s="4">
        <f t="shared" si="610"/>
        <v>1343.7740034692806</v>
      </c>
      <c r="M255" s="4">
        <f t="shared" si="610"/>
        <v>1352.3265994631286</v>
      </c>
      <c r="N255" s="4">
        <f t="shared" si="610"/>
        <v>1360.7009751190637</v>
      </c>
      <c r="O255" s="4">
        <f t="shared" si="610"/>
        <v>1368.9010908890396</v>
      </c>
      <c r="P255" s="4">
        <f t="shared" si="610"/>
        <v>1377.0160569420123</v>
      </c>
      <c r="Q255" s="4">
        <f t="shared" si="610"/>
        <v>1385.0617150857963</v>
      </c>
      <c r="R255" s="4">
        <f t="shared" si="610"/>
        <v>1393.0677687100444</v>
      </c>
      <c r="S255" s="4">
        <f t="shared" si="610"/>
        <v>1401.0500596225706</v>
      </c>
      <c r="T255" s="4">
        <f t="shared" si="610"/>
        <v>1409.0759155065869</v>
      </c>
      <c r="U255" s="4">
        <f t="shared" si="610"/>
        <v>1417.1829606556523</v>
      </c>
    </row>
    <row r="256" spans="1:36" x14ac:dyDescent="0.35">
      <c r="A256" s="30" t="s">
        <v>130</v>
      </c>
      <c r="B256" s="31" t="s">
        <v>131</v>
      </c>
      <c r="C256" s="74">
        <f>G256</f>
        <v>0.14644773493622637</v>
      </c>
      <c r="D256" s="54">
        <f>U256</f>
        <v>0.1</v>
      </c>
      <c r="E256" s="212">
        <f>IFERROR(E255/E250,"")</f>
        <v>0.17938059701492529</v>
      </c>
      <c r="F256" s="212">
        <f>IFERROR(F255/F250,"")</f>
        <v>0.16532161662160241</v>
      </c>
      <c r="G256" s="212">
        <f>IFERROR(G255/G250,"")</f>
        <v>0.14644773493622637</v>
      </c>
      <c r="H256" s="49"/>
      <c r="I256" s="362">
        <v>0.1</v>
      </c>
      <c r="J256" s="364">
        <f t="shared" ref="J256:U256" si="611">I256</f>
        <v>0.1</v>
      </c>
      <c r="K256" s="364">
        <f t="shared" si="611"/>
        <v>0.1</v>
      </c>
      <c r="L256" s="364">
        <f t="shared" si="611"/>
        <v>0.1</v>
      </c>
      <c r="M256" s="364">
        <f t="shared" si="611"/>
        <v>0.1</v>
      </c>
      <c r="N256" s="364">
        <f t="shared" si="611"/>
        <v>0.1</v>
      </c>
      <c r="O256" s="364">
        <f t="shared" si="611"/>
        <v>0.1</v>
      </c>
      <c r="P256" s="364">
        <f t="shared" si="611"/>
        <v>0.1</v>
      </c>
      <c r="Q256" s="364">
        <f t="shared" si="611"/>
        <v>0.1</v>
      </c>
      <c r="R256" s="364">
        <f t="shared" si="611"/>
        <v>0.1</v>
      </c>
      <c r="S256" s="364">
        <f t="shared" si="611"/>
        <v>0.1</v>
      </c>
      <c r="T256" s="364">
        <f t="shared" si="611"/>
        <v>0.1</v>
      </c>
      <c r="U256" s="364">
        <f t="shared" si="611"/>
        <v>0.1</v>
      </c>
      <c r="W256" s="319"/>
      <c r="X256" s="333"/>
      <c r="Y256" s="333"/>
      <c r="Z256" s="333"/>
      <c r="AA256" s="333"/>
      <c r="AB256" s="333"/>
      <c r="AC256" s="333"/>
      <c r="AD256" s="333"/>
      <c r="AE256" s="333"/>
      <c r="AF256" s="333"/>
      <c r="AG256" s="333"/>
      <c r="AH256" s="333"/>
      <c r="AI256" s="333"/>
      <c r="AJ256" s="333"/>
    </row>
    <row r="257" spans="1:36" x14ac:dyDescent="0.35">
      <c r="A257" s="30" t="s">
        <v>128</v>
      </c>
      <c r="B257" s="31" t="s">
        <v>129</v>
      </c>
      <c r="C257" s="53">
        <f>G257</f>
        <v>148.76942406627271</v>
      </c>
      <c r="D257" s="53">
        <f>U257</f>
        <v>148.76942406627271</v>
      </c>
      <c r="E257" s="46">
        <f>IFERROR(E252/E258/365*1000,0)</f>
        <v>152.504724753586</v>
      </c>
      <c r="F257" s="46">
        <f>IFERROR(F252/F258/365*1000,0)</f>
        <v>156.71868922027579</v>
      </c>
      <c r="G257" s="46">
        <f>IFERROR(G252/G258/365*1000,0)</f>
        <v>148.76942406627271</v>
      </c>
      <c r="H257" s="46"/>
      <c r="I257" s="76">
        <f>G257</f>
        <v>148.76942406627271</v>
      </c>
      <c r="J257" s="4">
        <f t="shared" ref="J257:U257" si="612">I257</f>
        <v>148.76942406627271</v>
      </c>
      <c r="K257" s="4">
        <f t="shared" si="612"/>
        <v>148.76942406627271</v>
      </c>
      <c r="L257" s="4">
        <f t="shared" si="612"/>
        <v>148.76942406627271</v>
      </c>
      <c r="M257" s="4">
        <f t="shared" si="612"/>
        <v>148.76942406627271</v>
      </c>
      <c r="N257" s="4">
        <f t="shared" si="612"/>
        <v>148.76942406627271</v>
      </c>
      <c r="O257" s="4">
        <f t="shared" si="612"/>
        <v>148.76942406627271</v>
      </c>
      <c r="P257" s="4">
        <f t="shared" si="612"/>
        <v>148.76942406627271</v>
      </c>
      <c r="Q257" s="4">
        <f t="shared" si="612"/>
        <v>148.76942406627271</v>
      </c>
      <c r="R257" s="4">
        <f t="shared" si="612"/>
        <v>148.76942406627271</v>
      </c>
      <c r="S257" s="4">
        <f t="shared" si="612"/>
        <v>148.76942406627271</v>
      </c>
      <c r="T257" s="4">
        <f t="shared" si="612"/>
        <v>148.76942406627271</v>
      </c>
      <c r="U257" s="4">
        <f t="shared" si="612"/>
        <v>148.76942406627271</v>
      </c>
    </row>
    <row r="258" spans="1:36" x14ac:dyDescent="0.35">
      <c r="A258" s="77" t="s">
        <v>136</v>
      </c>
      <c r="B258" s="78" t="s">
        <v>137</v>
      </c>
      <c r="C258" s="355">
        <f>G258</f>
        <v>198.27906976744185</v>
      </c>
      <c r="D258" s="355">
        <f>U258</f>
        <v>219.65792843423202</v>
      </c>
      <c r="E258" s="213">
        <f>VLOOKUP($A248,Elanikud!$A$1:$S$20,Elanikud!B$21,FALSE)</f>
        <v>183.79237446407691</v>
      </c>
      <c r="F258" s="213">
        <f>VLOOKUP($A248,Elanikud!$A$1:$S$20,Elanikud!C$21,FALSE)</f>
        <v>190.42129238664415</v>
      </c>
      <c r="G258" s="213">
        <f>VLOOKUP($A248,Elanikud!$A$1:$S$20,Elanikud!D$21,FALSE)</f>
        <v>198.27906976744185</v>
      </c>
      <c r="H258" s="213">
        <f>VLOOKUP($A248,Elanikud!$A$1:$S$20,Elanikud!E$21,FALSE)</f>
        <v>203</v>
      </c>
      <c r="I258" s="62">
        <f>VLOOKUP($A248,Elanikud!$A$1:$S$20,Elanikud!E$21,FALSE)</f>
        <v>203</v>
      </c>
      <c r="J258" s="241">
        <f>VLOOKUP($A248,Elanikud!$A$1:$S$20,Elanikud!F$21,FALSE)</f>
        <v>204.53470609919356</v>
      </c>
      <c r="K258" s="241">
        <f>VLOOKUP($A248,Elanikud!$A$1:$S$20,Elanikud!G$21,FALSE)</f>
        <v>206.03363739838451</v>
      </c>
      <c r="L258" s="241">
        <f>VLOOKUP($A248,Elanikud!$A$1:$S$20,Elanikud!H$21,FALSE)</f>
        <v>207.49088613243484</v>
      </c>
      <c r="M258" s="241">
        <f>VLOOKUP($A248,Elanikud!$A$1:$S$20,Elanikud!I$21,FALSE)</f>
        <v>208.90842155639055</v>
      </c>
      <c r="N258" s="241">
        <f>VLOOKUP($A248,Elanikud!$A$1:$S$20,Elanikud!J$21,FALSE)</f>
        <v>210.29641815465607</v>
      </c>
      <c r="O258" s="241">
        <f>VLOOKUP($A248,Elanikud!$A$1:$S$20,Elanikud!K$21,FALSE)</f>
        <v>211.65553234558004</v>
      </c>
      <c r="P258" s="241">
        <f>VLOOKUP($A248,Elanikud!$A$1:$S$20,Elanikud!L$21,FALSE)</f>
        <v>213.00053354200756</v>
      </c>
      <c r="Q258" s="241">
        <f>VLOOKUP($A248,Elanikud!$A$1:$S$20,Elanikud!M$21,FALSE)</f>
        <v>214.33404741733332</v>
      </c>
      <c r="R258" s="241">
        <f>VLOOKUP($A248,Elanikud!$A$1:$S$20,Elanikud!N$21,FALSE)</f>
        <v>215.66099710917237</v>
      </c>
      <c r="S258" s="241">
        <f>VLOOKUP($A248,Elanikud!$A$1:$S$20,Elanikud!O$21,FALSE)</f>
        <v>216.98400829091941</v>
      </c>
      <c r="T258" s="241">
        <f>VLOOKUP($A248,Elanikud!$A$1:$S$20,Elanikud!P$21,FALSE)</f>
        <v>218.31424007450184</v>
      </c>
      <c r="U258" s="241">
        <f>VLOOKUP($A248,Elanikud!$A$1:$S$20,Elanikud!Q$21,FALSE)</f>
        <v>219.65792843423202</v>
      </c>
    </row>
    <row r="259" spans="1:36" x14ac:dyDescent="0.35">
      <c r="A259" s="35" t="s">
        <v>43</v>
      </c>
      <c r="B259" s="33"/>
      <c r="C259" s="33"/>
      <c r="D259" s="33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W259" s="319"/>
      <c r="X259" s="333"/>
      <c r="Y259" s="333"/>
      <c r="Z259" s="333"/>
      <c r="AA259" s="333"/>
      <c r="AB259" s="333"/>
      <c r="AC259" s="333"/>
      <c r="AD259" s="333"/>
      <c r="AE259" s="333"/>
      <c r="AF259" s="333"/>
      <c r="AG259" s="333"/>
      <c r="AH259" s="333"/>
      <c r="AI259" s="333"/>
      <c r="AJ259" s="333"/>
    </row>
    <row r="260" spans="1:36" ht="16.5" x14ac:dyDescent="0.35">
      <c r="A260" s="30" t="s">
        <v>132</v>
      </c>
      <c r="B260" s="31" t="s">
        <v>125</v>
      </c>
      <c r="C260" s="53">
        <f t="shared" ref="C260:C265" si="613">G260/365</f>
        <v>37.375342465753427</v>
      </c>
      <c r="D260" s="53">
        <f t="shared" ref="D260:D265" si="614">U260/365</f>
        <v>43.176614601226809</v>
      </c>
      <c r="E260" s="71">
        <f>ABS(SUMIFS(SM!I:I,SM!$C:$C,"too",SM!$D:$D,$E248))</f>
        <v>13400</v>
      </c>
      <c r="F260" s="71">
        <f>ABS(SUMIFS(SM!J:J,SM!$C:$C,"too",SM!$D:$D,$E248))</f>
        <v>14054</v>
      </c>
      <c r="G260" s="71">
        <f>ABS(SUMIFS(SM!K:K,SM!$C:$C,"too",SM!$D:$D,$E248))</f>
        <v>13642</v>
      </c>
      <c r="H260" s="45"/>
      <c r="I260" s="47">
        <f>(I261+I264)/(100%-I266)</f>
        <v>14633.841904761897</v>
      </c>
      <c r="J260" s="4">
        <f t="shared" ref="J260" si="615">(J261+J264)/(100%-J266)</f>
        <v>14737.546252356793</v>
      </c>
      <c r="K260" s="4">
        <f t="shared" ref="K260" si="616">(K261+K264)/(100%-K266)</f>
        <v>14838.83319749492</v>
      </c>
      <c r="L260" s="4">
        <f t="shared" ref="L260" si="617">(L261+L264)/(100%-L266)</f>
        <v>14937.30353610085</v>
      </c>
      <c r="M260" s="4">
        <f t="shared" ref="M260" si="618">(M261+M264)/(100%-M266)</f>
        <v>15033.090336199726</v>
      </c>
      <c r="N260" s="4">
        <f t="shared" ref="N260" si="619">(N261+N264)/(100%-N266)</f>
        <v>15126.881115921455</v>
      </c>
      <c r="O260" s="4">
        <f t="shared" ref="O260" si="620">(O261+O264)/(100%-O266)</f>
        <v>15218.720231274419</v>
      </c>
      <c r="P260" s="4">
        <f t="shared" ref="P260" si="621">(P261+P264)/(100%-P266)</f>
        <v>15309.605692447185</v>
      </c>
      <c r="Q260" s="4">
        <f t="shared" ref="Q260" si="622">(Q261+Q264)/(100%-Q266)</f>
        <v>15399.714923473286</v>
      </c>
      <c r="R260" s="4">
        <f t="shared" ref="R260" si="623">(R261+R264)/(100%-R266)</f>
        <v>15489.380594415576</v>
      </c>
      <c r="S260" s="4">
        <f t="shared" ref="S260" si="624">(S261+S264)/(100%-S266)</f>
        <v>15578.780129307581</v>
      </c>
      <c r="T260" s="4">
        <f t="shared" ref="T260" si="625">(T261+T264)/(100%-T266)</f>
        <v>15668.667580291776</v>
      </c>
      <c r="U260" s="4">
        <f t="shared" ref="U260" si="626">(U261+U264)/(100%-U266)</f>
        <v>15759.464329447785</v>
      </c>
      <c r="Z260" s="337"/>
      <c r="AA260" s="337"/>
      <c r="AB260" s="337"/>
      <c r="AC260" s="337"/>
      <c r="AD260" s="337"/>
      <c r="AE260" s="337"/>
      <c r="AF260" s="337"/>
      <c r="AG260" s="337"/>
      <c r="AH260" s="337"/>
      <c r="AI260" s="337"/>
      <c r="AJ260" s="337"/>
    </row>
    <row r="261" spans="1:36" ht="16.5" x14ac:dyDescent="0.35">
      <c r="A261" s="30" t="s">
        <v>133</v>
      </c>
      <c r="B261" s="31" t="s">
        <v>125</v>
      </c>
      <c r="C261" s="53">
        <f t="shared" si="613"/>
        <v>28.351945205479439</v>
      </c>
      <c r="D261" s="53">
        <f t="shared" si="614"/>
        <v>31.320360494299102</v>
      </c>
      <c r="E261" s="45">
        <f>E262+E263</f>
        <v>9637.7599999999948</v>
      </c>
      <c r="F261" s="45">
        <f>F262+F263</f>
        <v>10593.289999999997</v>
      </c>
      <c r="G261" s="45">
        <f>G262+G263</f>
        <v>10348.459999999995</v>
      </c>
      <c r="H261" s="45"/>
      <c r="I261" s="48">
        <f t="shared" ref="I261" si="627">I262+I263</f>
        <v>10587.714761904757</v>
      </c>
      <c r="J261" s="12">
        <f t="shared" ref="J261" si="628">J262+J263</f>
        <v>10665.493022600929</v>
      </c>
      <c r="K261" s="12">
        <f t="shared" ref="K261" si="629">K262+K263</f>
        <v>10741.458231454524</v>
      </c>
      <c r="L261" s="12">
        <f t="shared" ref="L261" si="630">L262+L263</f>
        <v>10815.310985408971</v>
      </c>
      <c r="M261" s="12">
        <f t="shared" ref="M261" si="631">M262+M263</f>
        <v>10887.151085483129</v>
      </c>
      <c r="N261" s="12">
        <f t="shared" ref="N261" si="632">N262+N263</f>
        <v>10957.494170274425</v>
      </c>
      <c r="O261" s="12">
        <f t="shared" ref="O261" si="633">O262+O263</f>
        <v>11026.373506789148</v>
      </c>
      <c r="P261" s="12">
        <f t="shared" ref="P261" si="634">P262+P263</f>
        <v>11094.537602668723</v>
      </c>
      <c r="Q261" s="12">
        <f t="shared" ref="Q261" si="635">Q262+Q263</f>
        <v>11162.119525938298</v>
      </c>
      <c r="R261" s="12">
        <f t="shared" ref="R261" si="636">R262+R263</f>
        <v>11229.368779145016</v>
      </c>
      <c r="S261" s="12">
        <f t="shared" ref="S261" si="637">S262+S263</f>
        <v>11296.418430314019</v>
      </c>
      <c r="T261" s="12">
        <f t="shared" ref="T261" si="638">T262+T263</f>
        <v>11363.834018552167</v>
      </c>
      <c r="U261" s="12">
        <f t="shared" ref="U261" si="639">U262+U263</f>
        <v>11431.931580419172</v>
      </c>
    </row>
    <row r="262" spans="1:36" ht="16.5" x14ac:dyDescent="0.35">
      <c r="A262" s="30" t="s">
        <v>134</v>
      </c>
      <c r="B262" s="31" t="s">
        <v>125</v>
      </c>
      <c r="C262" s="53">
        <f t="shared" si="613"/>
        <v>27.530684931506837</v>
      </c>
      <c r="D262" s="53">
        <f t="shared" si="614"/>
        <v>30.499100220326497</v>
      </c>
      <c r="E262" s="45">
        <f>ABS(SUMIFS(SM!I:I,SM!$C:$C,"era",SM!$D:$D,$E248))</f>
        <v>9209.3199999999943</v>
      </c>
      <c r="F262" s="45">
        <f>ABS(SUMIFS(SM!J:J,SM!$C:$C,"era",SM!$D:$D,$E248))</f>
        <v>10177.069999999998</v>
      </c>
      <c r="G262" s="45">
        <f>ABS(SUMIFS(SM!K:K,SM!$C:$C,"era",SM!$D:$D,$E248))</f>
        <v>10048.699999999995</v>
      </c>
      <c r="H262" s="71"/>
      <c r="I262" s="47">
        <f t="shared" ref="I262:U262" si="640">I268*I267*365/1000</f>
        <v>10287.954761904757</v>
      </c>
      <c r="J262" s="4">
        <f t="shared" si="640"/>
        <v>10365.733022600929</v>
      </c>
      <c r="K262" s="4">
        <f t="shared" si="640"/>
        <v>10441.698231454524</v>
      </c>
      <c r="L262" s="4">
        <f t="shared" si="640"/>
        <v>10515.550985408971</v>
      </c>
      <c r="M262" s="4">
        <f t="shared" si="640"/>
        <v>10587.391085483128</v>
      </c>
      <c r="N262" s="4">
        <f t="shared" si="640"/>
        <v>10657.734170274425</v>
      </c>
      <c r="O262" s="4">
        <f t="shared" si="640"/>
        <v>10726.613506789148</v>
      </c>
      <c r="P262" s="4">
        <f t="shared" si="640"/>
        <v>10794.777602668722</v>
      </c>
      <c r="Q262" s="4">
        <f t="shared" si="640"/>
        <v>10862.359525938298</v>
      </c>
      <c r="R262" s="4">
        <f t="shared" si="640"/>
        <v>10929.608779145015</v>
      </c>
      <c r="S262" s="4">
        <f t="shared" si="640"/>
        <v>10996.658430314019</v>
      </c>
      <c r="T262" s="4">
        <f t="shared" si="640"/>
        <v>11064.074018552166</v>
      </c>
      <c r="U262" s="4">
        <f t="shared" si="640"/>
        <v>11132.171580419172</v>
      </c>
    </row>
    <row r="263" spans="1:36" ht="16.5" x14ac:dyDescent="0.35">
      <c r="A263" s="30" t="s">
        <v>498</v>
      </c>
      <c r="B263" s="31" t="s">
        <v>125</v>
      </c>
      <c r="C263" s="226">
        <f t="shared" si="613"/>
        <v>0.82126027397260259</v>
      </c>
      <c r="D263" s="226">
        <f t="shared" si="614"/>
        <v>0.82126027397260259</v>
      </c>
      <c r="E263" s="45">
        <f>ABS(SUMIFS(SM!I:I,SM!$C:$C,"jur",SM!$D:$D,$E248))</f>
        <v>428.44000000000005</v>
      </c>
      <c r="F263" s="45">
        <f>ABS(SUMIFS(SM!J:J,SM!$C:$C,"jur",SM!$D:$D,$E248))</f>
        <v>416.22</v>
      </c>
      <c r="G263" s="45">
        <f>ABS(SUMIFS(SM!K:K,SM!$C:$C,"jur",SM!$D:$D,$E248))</f>
        <v>299.75999999999993</v>
      </c>
      <c r="H263" s="71"/>
      <c r="I263" s="76">
        <f>G263</f>
        <v>299.75999999999993</v>
      </c>
      <c r="J263" s="4">
        <f t="shared" ref="J263:U263" si="641">I263</f>
        <v>299.75999999999993</v>
      </c>
      <c r="K263" s="4">
        <f t="shared" si="641"/>
        <v>299.75999999999993</v>
      </c>
      <c r="L263" s="4">
        <f t="shared" si="641"/>
        <v>299.75999999999993</v>
      </c>
      <c r="M263" s="4">
        <f t="shared" si="641"/>
        <v>299.75999999999993</v>
      </c>
      <c r="N263" s="4">
        <f t="shared" si="641"/>
        <v>299.75999999999993</v>
      </c>
      <c r="O263" s="4">
        <f t="shared" si="641"/>
        <v>299.75999999999993</v>
      </c>
      <c r="P263" s="4">
        <f t="shared" si="641"/>
        <v>299.75999999999993</v>
      </c>
      <c r="Q263" s="4">
        <f t="shared" si="641"/>
        <v>299.75999999999993</v>
      </c>
      <c r="R263" s="4">
        <f t="shared" si="641"/>
        <v>299.75999999999993</v>
      </c>
      <c r="S263" s="4">
        <f t="shared" si="641"/>
        <v>299.75999999999993</v>
      </c>
      <c r="T263" s="4">
        <f t="shared" si="641"/>
        <v>299.75999999999993</v>
      </c>
      <c r="U263" s="4">
        <f t="shared" si="641"/>
        <v>299.75999999999993</v>
      </c>
    </row>
    <row r="264" spans="1:36" s="70" customFormat="1" x14ac:dyDescent="0.35">
      <c r="A264" s="260" t="s">
        <v>525</v>
      </c>
      <c r="B264" s="261" t="s">
        <v>521</v>
      </c>
      <c r="C264" s="262">
        <f t="shared" si="613"/>
        <v>1.5506849315068494</v>
      </c>
      <c r="D264" s="262">
        <f t="shared" si="614"/>
        <v>1.0621004566210046</v>
      </c>
      <c r="E264" s="263">
        <f>ABS(SUMIFS(SM!I:I,SM!$C:$C,"OMA",SM!$D:$D,$E248))</f>
        <v>235</v>
      </c>
      <c r="F264" s="263">
        <f>ABS(SUMIFS(SM!J:J,SM!$C:$C,"OMA",SM!$D:$D,$E248))</f>
        <v>362</v>
      </c>
      <c r="G264" s="263">
        <f>ABS(SUMIFS(SM!K:K,SM!$C:$C,"OMA",SM!$D:$D,$E248))</f>
        <v>566</v>
      </c>
      <c r="H264" s="263"/>
      <c r="I264" s="276">
        <f>IFERROR(AVERAGE(E264:G264),0)</f>
        <v>387.66666666666669</v>
      </c>
      <c r="J264" s="264">
        <f t="shared" ref="J264:U264" si="642">I264</f>
        <v>387.66666666666669</v>
      </c>
      <c r="K264" s="264">
        <f t="shared" si="642"/>
        <v>387.66666666666669</v>
      </c>
      <c r="L264" s="264">
        <f t="shared" si="642"/>
        <v>387.66666666666669</v>
      </c>
      <c r="M264" s="264">
        <f t="shared" si="642"/>
        <v>387.66666666666669</v>
      </c>
      <c r="N264" s="264">
        <f t="shared" si="642"/>
        <v>387.66666666666669</v>
      </c>
      <c r="O264" s="264">
        <f t="shared" si="642"/>
        <v>387.66666666666669</v>
      </c>
      <c r="P264" s="264">
        <f t="shared" si="642"/>
        <v>387.66666666666669</v>
      </c>
      <c r="Q264" s="264">
        <f t="shared" si="642"/>
        <v>387.66666666666669</v>
      </c>
      <c r="R264" s="264">
        <f t="shared" si="642"/>
        <v>387.66666666666669</v>
      </c>
      <c r="S264" s="264">
        <f t="shared" si="642"/>
        <v>387.66666666666669</v>
      </c>
      <c r="T264" s="264">
        <f t="shared" si="642"/>
        <v>387.66666666666669</v>
      </c>
      <c r="U264" s="264">
        <f t="shared" si="642"/>
        <v>387.66666666666669</v>
      </c>
      <c r="W264" s="318"/>
      <c r="X264" s="332"/>
      <c r="Y264" s="332"/>
      <c r="Z264" s="332"/>
      <c r="AA264" s="332"/>
      <c r="AB264" s="332"/>
      <c r="AC264" s="332"/>
      <c r="AD264" s="332"/>
      <c r="AE264" s="332"/>
      <c r="AF264" s="332"/>
      <c r="AG264" s="332"/>
      <c r="AH264" s="332"/>
      <c r="AI264" s="332"/>
      <c r="AJ264" s="332"/>
    </row>
    <row r="265" spans="1:36" ht="16.5" x14ac:dyDescent="0.35">
      <c r="A265" s="30" t="s">
        <v>135</v>
      </c>
      <c r="B265" s="31" t="s">
        <v>125</v>
      </c>
      <c r="C265" s="226">
        <f t="shared" si="613"/>
        <v>7.4727123287671233</v>
      </c>
      <c r="D265" s="226">
        <f t="shared" si="614"/>
        <v>10.794153650306702</v>
      </c>
      <c r="E265" s="71">
        <f>ABS(SUMIFS(SM!I:I,SM!$C:$C,"KAD",SM!$D:$D,$E248))</f>
        <v>3527.24</v>
      </c>
      <c r="F265" s="71">
        <f>ABS(SUMIFS(SM!J:J,SM!$C:$C,"KAD",SM!$D:$D,$E248))</f>
        <v>3098.71</v>
      </c>
      <c r="G265" s="71">
        <f>ABS(SUMIFS(SM!K:K,SM!$C:$C,"KAD",SM!$D:$D,$E248))</f>
        <v>2727.54</v>
      </c>
      <c r="H265" s="45"/>
      <c r="I265" s="47">
        <f>I266*I260</f>
        <v>3658.4604761904743</v>
      </c>
      <c r="J265" s="4">
        <f t="shared" ref="J265" si="643">J266*J260</f>
        <v>3684.3865630891983</v>
      </c>
      <c r="K265" s="4">
        <f t="shared" ref="K265" si="644">K266*K260</f>
        <v>3709.7082993737299</v>
      </c>
      <c r="L265" s="4">
        <f t="shared" ref="L265" si="645">L266*L260</f>
        <v>3734.3258840252124</v>
      </c>
      <c r="M265" s="4">
        <f t="shared" ref="M265" si="646">M266*M260</f>
        <v>3758.2725840499315</v>
      </c>
      <c r="N265" s="4">
        <f t="shared" ref="N265" si="647">N266*N260</f>
        <v>3781.7202789803637</v>
      </c>
      <c r="O265" s="4">
        <f t="shared" ref="O265" si="648">O266*O260</f>
        <v>3804.6800578186048</v>
      </c>
      <c r="P265" s="4">
        <f t="shared" ref="P265" si="649">P266*P260</f>
        <v>3827.4014231117962</v>
      </c>
      <c r="Q265" s="4">
        <f t="shared" ref="Q265" si="650">Q266*Q260</f>
        <v>3849.9287308683215</v>
      </c>
      <c r="R265" s="4">
        <f t="shared" ref="R265" si="651">R266*R260</f>
        <v>3872.3451486038939</v>
      </c>
      <c r="S265" s="4">
        <f t="shared" ref="S265" si="652">S266*S260</f>
        <v>3894.6950323268952</v>
      </c>
      <c r="T265" s="4">
        <f t="shared" ref="T265" si="653">T266*T260</f>
        <v>3917.166895072944</v>
      </c>
      <c r="U265" s="4">
        <f t="shared" ref="U265" si="654">U266*U260</f>
        <v>3939.8660823619462</v>
      </c>
    </row>
    <row r="266" spans="1:36" x14ac:dyDescent="0.35">
      <c r="A266" s="30" t="s">
        <v>135</v>
      </c>
      <c r="B266" s="31" t="s">
        <v>131</v>
      </c>
      <c r="C266" s="73">
        <f>G266</f>
        <v>0.19993695939011874</v>
      </c>
      <c r="D266" s="54">
        <f>U266</f>
        <v>0.25</v>
      </c>
      <c r="E266" s="50">
        <f>IFERROR(E265/E260,"")</f>
        <v>0.26322686567164177</v>
      </c>
      <c r="F266" s="50">
        <f>IFERROR(F265/F260,"")</f>
        <v>0.22048598263839478</v>
      </c>
      <c r="G266" s="50">
        <f>IFERROR(G265/G260,"")</f>
        <v>0.19993695939011874</v>
      </c>
      <c r="H266" s="50" t="str">
        <f>IFERROR(H265/H260,"")</f>
        <v/>
      </c>
      <c r="I266" s="227">
        <f>$AK$47</f>
        <v>0.25</v>
      </c>
      <c r="J266" s="38">
        <f t="shared" ref="J266:U266" si="655">I266</f>
        <v>0.25</v>
      </c>
      <c r="K266" s="38">
        <f t="shared" si="655"/>
        <v>0.25</v>
      </c>
      <c r="L266" s="38">
        <f t="shared" si="655"/>
        <v>0.25</v>
      </c>
      <c r="M266" s="38">
        <f t="shared" si="655"/>
        <v>0.25</v>
      </c>
      <c r="N266" s="38">
        <f t="shared" si="655"/>
        <v>0.25</v>
      </c>
      <c r="O266" s="38">
        <f t="shared" si="655"/>
        <v>0.25</v>
      </c>
      <c r="P266" s="38">
        <f t="shared" si="655"/>
        <v>0.25</v>
      </c>
      <c r="Q266" s="38">
        <f t="shared" si="655"/>
        <v>0.25</v>
      </c>
      <c r="R266" s="38">
        <f t="shared" si="655"/>
        <v>0.25</v>
      </c>
      <c r="S266" s="38">
        <f t="shared" si="655"/>
        <v>0.25</v>
      </c>
      <c r="T266" s="38">
        <f t="shared" si="655"/>
        <v>0.25</v>
      </c>
      <c r="U266" s="38">
        <f t="shared" si="655"/>
        <v>0.25</v>
      </c>
    </row>
    <row r="267" spans="1:36" s="70" customFormat="1" x14ac:dyDescent="0.35">
      <c r="A267" s="181" t="s">
        <v>128</v>
      </c>
      <c r="B267" s="182" t="s">
        <v>129</v>
      </c>
      <c r="C267" s="211">
        <f>G267</f>
        <v>138.84816467919237</v>
      </c>
      <c r="D267" s="211">
        <f>U267</f>
        <v>138.84816467919237</v>
      </c>
      <c r="E267" s="71">
        <f>IFERROR(E262/E268/365*1000,0)</f>
        <v>137.27998113197913</v>
      </c>
      <c r="F267" s="71">
        <f>IFERROR(F262/F268/365*1000,0)</f>
        <v>146.42471549363066</v>
      </c>
      <c r="G267" s="71">
        <f>IFERROR(G262/G268/365*1000,0)</f>
        <v>138.84816467919237</v>
      </c>
      <c r="H267" s="71"/>
      <c r="I267" s="76">
        <f>G267</f>
        <v>138.84816467919237</v>
      </c>
      <c r="J267" s="4">
        <f>IF(I267=0,0,IF(I267&gt;Veehind!$B$16,I267,I267+(Veehind!$B$16-$I267)/12))</f>
        <v>138.84816467919237</v>
      </c>
      <c r="K267" s="4">
        <f>IF(J267=0,0,IF(J267&gt;Veehind!$B$16,J267,J267+(Veehind!$B$16-$I267)/12))</f>
        <v>138.84816467919237</v>
      </c>
      <c r="L267" s="4">
        <f>IF(K267=0,0,IF(K267&gt;Veehind!$B$16,K267,K267+(Veehind!$B$16-$I267)/12))</f>
        <v>138.84816467919237</v>
      </c>
      <c r="M267" s="4">
        <f>IF(L267=0,0,IF(L267&gt;Veehind!$B$16,L267,L267+(Veehind!$B$16-$I267)/12))</f>
        <v>138.84816467919237</v>
      </c>
      <c r="N267" s="4">
        <f>IF(M267=0,0,IF(M267&gt;Veehind!$B$16,M267,M267+(Veehind!$B$16-$I267)/12))</f>
        <v>138.84816467919237</v>
      </c>
      <c r="O267" s="4">
        <f>IF(N267=0,0,IF(N267&gt;Veehind!$B$16,N267,N267+(Veehind!$B$16-$I267)/12))</f>
        <v>138.84816467919237</v>
      </c>
      <c r="P267" s="4">
        <f>IF(O267=0,0,IF(O267&gt;Veehind!$B$16,O267,O267+(Veehind!$B$16-$I267)/12))</f>
        <v>138.84816467919237</v>
      </c>
      <c r="Q267" s="4">
        <f>IF(P267=0,0,IF(P267&gt;Veehind!$B$16,P267,P267+(Veehind!$B$16-$I267)/12))</f>
        <v>138.84816467919237</v>
      </c>
      <c r="R267" s="4">
        <f>IF(Q267=0,0,IF(Q267&gt;Veehind!$B$16,Q267,Q267+(Veehind!$B$16-$I267)/12))</f>
        <v>138.84816467919237</v>
      </c>
      <c r="S267" s="4">
        <f>IF(R267=0,0,IF(R267&gt;Veehind!$B$16,R267,R267+(Veehind!$B$16-$I267)/12))</f>
        <v>138.84816467919237</v>
      </c>
      <c r="T267" s="4">
        <f>IF(S267=0,0,IF(S267&gt;Veehind!$B$16,S267,S267+(Veehind!$B$16-$I267)/12))</f>
        <v>138.84816467919237</v>
      </c>
      <c r="U267" s="4">
        <f>IF(T267=0,0,IF(T267&gt;Veehind!$B$16,T267,T267+(Veehind!$B$16-$I267)/12))</f>
        <v>138.84816467919237</v>
      </c>
      <c r="W267" s="320"/>
      <c r="X267" s="334"/>
      <c r="Y267" s="334"/>
      <c r="Z267" s="334"/>
      <c r="AA267" s="334"/>
      <c r="AB267" s="334"/>
      <c r="AC267" s="334"/>
      <c r="AD267" s="334"/>
      <c r="AE267" s="334"/>
      <c r="AF267" s="334"/>
      <c r="AG267" s="334"/>
      <c r="AH267" s="334"/>
      <c r="AI267" s="334"/>
      <c r="AJ267" s="334"/>
    </row>
    <row r="268" spans="1:36" s="37" customFormat="1" x14ac:dyDescent="0.35">
      <c r="A268" s="77" t="s">
        <v>136</v>
      </c>
      <c r="B268" s="78" t="s">
        <v>137</v>
      </c>
      <c r="C268" s="355">
        <f>G268</f>
        <v>198.27906976744185</v>
      </c>
      <c r="D268" s="355">
        <f>U268</f>
        <v>219.65792843423202</v>
      </c>
      <c r="E268" s="215">
        <f>VLOOKUP($A248,Elanikud!$A$22:$S$41,Elanikud!B$21,FALSE)</f>
        <v>183.79237446407691</v>
      </c>
      <c r="F268" s="215">
        <f>VLOOKUP($A248,Elanikud!$A$22:$S$41,Elanikud!C$21,FALSE)</f>
        <v>190.42129238664415</v>
      </c>
      <c r="G268" s="215">
        <f>VLOOKUP($A248,Elanikud!$A$22:$S$41,Elanikud!D$21,FALSE)</f>
        <v>198.27906976744185</v>
      </c>
      <c r="H268" s="215">
        <f>VLOOKUP($A248,Elanikud!$A$22:$S$41,Elanikud!E$21,FALSE)</f>
        <v>203</v>
      </c>
      <c r="I268" s="62">
        <f>VLOOKUP($A248,Elanikud!$A$22:$S$41,Elanikud!E$21,FALSE)</f>
        <v>203</v>
      </c>
      <c r="J268" s="241">
        <f>VLOOKUP($A248,Elanikud!$A$22:$S$41,Elanikud!F$21,FALSE)</f>
        <v>204.53470609919356</v>
      </c>
      <c r="K268" s="241">
        <f>VLOOKUP($A248,Elanikud!$A$22:$S$41,Elanikud!G$21,FALSE)</f>
        <v>206.03363739838451</v>
      </c>
      <c r="L268" s="241">
        <f>VLOOKUP($A248,Elanikud!$A$22:$S$41,Elanikud!H$21,FALSE)</f>
        <v>207.49088613243484</v>
      </c>
      <c r="M268" s="241">
        <f>VLOOKUP($A248,Elanikud!$A$22:$S$41,Elanikud!I$21,FALSE)</f>
        <v>208.90842155639055</v>
      </c>
      <c r="N268" s="241">
        <f>VLOOKUP($A248,Elanikud!$A$22:$S$41,Elanikud!J$21,FALSE)</f>
        <v>210.29641815465607</v>
      </c>
      <c r="O268" s="241">
        <f>VLOOKUP($A248,Elanikud!$A$22:$S$41,Elanikud!K$21,FALSE)</f>
        <v>211.65553234558004</v>
      </c>
      <c r="P268" s="241">
        <f>VLOOKUP($A248,Elanikud!$A$22:$S$41,Elanikud!L$21,FALSE)</f>
        <v>213.00053354200756</v>
      </c>
      <c r="Q268" s="241">
        <f>VLOOKUP($A248,Elanikud!$A$22:$S$41,Elanikud!M$21,FALSE)</f>
        <v>214.33404741733332</v>
      </c>
      <c r="R268" s="241">
        <f>VLOOKUP($A248,Elanikud!$A$22:$S$41,Elanikud!N$21,FALSE)</f>
        <v>215.66099710917237</v>
      </c>
      <c r="S268" s="241">
        <f>VLOOKUP($A248,Elanikud!$A$22:$S$41,Elanikud!O$21,FALSE)</f>
        <v>216.98400829091941</v>
      </c>
      <c r="T268" s="241">
        <f>VLOOKUP($A248,Elanikud!$A$22:$S$41,Elanikud!P$21,FALSE)</f>
        <v>218.31424007450184</v>
      </c>
      <c r="U268" s="241">
        <f>VLOOKUP($A248,Elanikud!$A$22:$S$41,Elanikud!Q$21,FALSE)</f>
        <v>219.65792843423202</v>
      </c>
      <c r="V268"/>
      <c r="W268" s="318"/>
      <c r="X268" s="332"/>
      <c r="Y268" s="332"/>
      <c r="Z268" s="332"/>
      <c r="AA268" s="332"/>
      <c r="AB268" s="332"/>
      <c r="AC268" s="332"/>
      <c r="AD268" s="332"/>
      <c r="AE268" s="332"/>
      <c r="AF268" s="332"/>
      <c r="AG268" s="332"/>
      <c r="AH268" s="332"/>
      <c r="AI268" s="332"/>
      <c r="AJ268" s="332"/>
    </row>
    <row r="269" spans="1:36" collapsed="1" x14ac:dyDescent="0.35">
      <c r="A269" s="36" t="s">
        <v>435</v>
      </c>
      <c r="B269" s="36"/>
      <c r="C269" s="36"/>
      <c r="D269" s="36"/>
      <c r="E269" s="41" t="s">
        <v>435</v>
      </c>
      <c r="F269" s="41"/>
      <c r="G269" s="41"/>
      <c r="H269" s="41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36" x14ac:dyDescent="0.35">
      <c r="A270" s="34" t="s">
        <v>21</v>
      </c>
      <c r="B270" s="32"/>
      <c r="C270" s="32"/>
      <c r="D270" s="32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36" ht="16.5" x14ac:dyDescent="0.35">
      <c r="A271" s="30" t="s">
        <v>124</v>
      </c>
      <c r="B271" s="31" t="s">
        <v>125</v>
      </c>
      <c r="C271" s="225">
        <f t="shared" ref="C271:C276" si="656">G271/365</f>
        <v>5.1221369863013724</v>
      </c>
      <c r="D271" s="225">
        <f t="shared" ref="D271:D276" si="657">U271/365</f>
        <v>8.0207288537532566</v>
      </c>
      <c r="E271" s="210">
        <f>E272+E275</f>
        <v>2312.5000000000009</v>
      </c>
      <c r="F271" s="210">
        <f t="shared" ref="F271:G271" si="658">F272+F275</f>
        <v>2459.9100000000012</v>
      </c>
      <c r="G271" s="210">
        <f t="shared" si="658"/>
        <v>1869.5800000000008</v>
      </c>
      <c r="H271" s="46">
        <f>SUMIFS(SM!$R:$R,SM!M:M,Q!E269)</f>
        <v>910</v>
      </c>
      <c r="I271" s="76">
        <f t="shared" ref="I271:U271" si="659">(I272+I275)/(100%-I277)</f>
        <v>2720.4018518518519</v>
      </c>
      <c r="J271" s="4">
        <f t="shared" si="659"/>
        <v>2739.4880264311087</v>
      </c>
      <c r="K271" s="4">
        <f t="shared" si="659"/>
        <v>2758.1292923214978</v>
      </c>
      <c r="L271" s="4">
        <f t="shared" si="659"/>
        <v>2776.2521783633924</v>
      </c>
      <c r="M271" s="4">
        <f t="shared" si="659"/>
        <v>2793.8811749433339</v>
      </c>
      <c r="N271" s="4">
        <f t="shared" si="659"/>
        <v>2811.1428157251294</v>
      </c>
      <c r="O271" s="4">
        <f t="shared" si="659"/>
        <v>2828.0452641709594</v>
      </c>
      <c r="P271" s="4">
        <f t="shared" si="659"/>
        <v>2844.7721981798963</v>
      </c>
      <c r="Q271" s="4">
        <f t="shared" si="659"/>
        <v>2861.3562716006659</v>
      </c>
      <c r="R271" s="4">
        <f t="shared" si="659"/>
        <v>2877.8587103996251</v>
      </c>
      <c r="S271" s="4">
        <f t="shared" si="659"/>
        <v>2894.3121684254984</v>
      </c>
      <c r="T271" s="4">
        <f t="shared" si="659"/>
        <v>2910.8554245353625</v>
      </c>
      <c r="U271" s="4">
        <f t="shared" si="659"/>
        <v>2927.5660316199387</v>
      </c>
    </row>
    <row r="272" spans="1:36" ht="16.5" x14ac:dyDescent="0.35">
      <c r="A272" s="30" t="s">
        <v>126</v>
      </c>
      <c r="B272" s="31" t="s">
        <v>125</v>
      </c>
      <c r="C272" s="226">
        <f t="shared" si="656"/>
        <v>4.9604931506849335</v>
      </c>
      <c r="D272" s="226">
        <f t="shared" si="657"/>
        <v>7.0369208085605788</v>
      </c>
      <c r="E272" s="46">
        <f>E273+E274</f>
        <v>2239.5000000000009</v>
      </c>
      <c r="F272" s="64">
        <f>F273+F274</f>
        <v>2392.9100000000012</v>
      </c>
      <c r="G272" s="64">
        <f>G273+G274</f>
        <v>1810.5800000000008</v>
      </c>
      <c r="H272" s="46"/>
      <c r="I272" s="48">
        <f t="shared" ref="I272:U272" si="660">I273+I274</f>
        <v>2382.0283333333332</v>
      </c>
      <c r="J272" s="12">
        <f t="shared" si="660"/>
        <v>2399.2058904546643</v>
      </c>
      <c r="K272" s="12">
        <f t="shared" si="660"/>
        <v>2415.9830297560147</v>
      </c>
      <c r="L272" s="12">
        <f t="shared" si="660"/>
        <v>2432.2936271937197</v>
      </c>
      <c r="M272" s="12">
        <f t="shared" si="660"/>
        <v>2448.1597241156669</v>
      </c>
      <c r="N272" s="12">
        <f t="shared" si="660"/>
        <v>2463.6952008192829</v>
      </c>
      <c r="O272" s="12">
        <f t="shared" si="660"/>
        <v>2478.9074044205299</v>
      </c>
      <c r="P272" s="12">
        <f t="shared" si="660"/>
        <v>2493.9616450285735</v>
      </c>
      <c r="Q272" s="12">
        <f t="shared" si="660"/>
        <v>2508.8873111072658</v>
      </c>
      <c r="R272" s="12">
        <f t="shared" si="660"/>
        <v>2523.7395060263293</v>
      </c>
      <c r="S272" s="12">
        <f t="shared" si="660"/>
        <v>2538.547618249615</v>
      </c>
      <c r="T272" s="12">
        <f t="shared" si="660"/>
        <v>2553.4365487484929</v>
      </c>
      <c r="U272" s="12">
        <f t="shared" si="660"/>
        <v>2568.4760951246112</v>
      </c>
    </row>
    <row r="273" spans="1:36" ht="16.5" x14ac:dyDescent="0.35">
      <c r="A273" s="30" t="s">
        <v>127</v>
      </c>
      <c r="B273" s="31" t="s">
        <v>125</v>
      </c>
      <c r="C273" s="226">
        <f t="shared" si="656"/>
        <v>4.6286849315068519</v>
      </c>
      <c r="D273" s="226">
        <f t="shared" si="657"/>
        <v>6.7358157857295291</v>
      </c>
      <c r="E273" s="46">
        <f>ABS(SUMIFS(SM!F:F,SM!$C:$C,"ERA",SM!$D:$D,$E269))</f>
        <v>2140.5500000000011</v>
      </c>
      <c r="F273" s="46">
        <f>ABS(SUMIFS(SM!G:G,SM!$C:$C,"ERA",SM!$D:$D,$E269))</f>
        <v>2283.2600000000011</v>
      </c>
      <c r="G273" s="46">
        <f>ABS(SUMIFS(SM!H:H,SM!$C:$C,"ERA",SM!$D:$D,$E269))</f>
        <v>1689.4700000000009</v>
      </c>
      <c r="H273" s="64"/>
      <c r="I273" s="47">
        <f t="shared" ref="I273:U273" si="661">I278*I279/1000*365</f>
        <v>2272.125</v>
      </c>
      <c r="J273" s="4">
        <f t="shared" si="661"/>
        <v>2289.3025571213311</v>
      </c>
      <c r="K273" s="4">
        <f t="shared" si="661"/>
        <v>2306.0796964226815</v>
      </c>
      <c r="L273" s="4">
        <f t="shared" si="661"/>
        <v>2322.3902938603865</v>
      </c>
      <c r="M273" s="4">
        <f t="shared" si="661"/>
        <v>2338.2563907823337</v>
      </c>
      <c r="N273" s="4">
        <f t="shared" si="661"/>
        <v>2353.7918674859498</v>
      </c>
      <c r="O273" s="4">
        <f t="shared" si="661"/>
        <v>2369.0040710871967</v>
      </c>
      <c r="P273" s="4">
        <f t="shared" si="661"/>
        <v>2384.0583116952403</v>
      </c>
      <c r="Q273" s="4">
        <f t="shared" si="661"/>
        <v>2398.9839777739326</v>
      </c>
      <c r="R273" s="4">
        <f t="shared" si="661"/>
        <v>2413.8361726929961</v>
      </c>
      <c r="S273" s="4">
        <f t="shared" si="661"/>
        <v>2428.6442849162818</v>
      </c>
      <c r="T273" s="4">
        <f t="shared" si="661"/>
        <v>2443.5332154151597</v>
      </c>
      <c r="U273" s="4">
        <f t="shared" si="661"/>
        <v>2458.572761791278</v>
      </c>
    </row>
    <row r="274" spans="1:36" ht="16.5" x14ac:dyDescent="0.35">
      <c r="A274" s="30" t="s">
        <v>497</v>
      </c>
      <c r="B274" s="31" t="s">
        <v>125</v>
      </c>
      <c r="C274" s="226">
        <f t="shared" si="656"/>
        <v>0.33180821917808218</v>
      </c>
      <c r="D274" s="226">
        <f t="shared" si="657"/>
        <v>0.30110502283105028</v>
      </c>
      <c r="E274" s="46">
        <f>ABS(SUMIFS(SM!F:F,SM!$C:$C,"JUR",SM!$D:$D,$E269))</f>
        <v>98.95</v>
      </c>
      <c r="F274" s="46">
        <f>ABS(SUMIFS(SM!G:G,SM!$C:$C,"JUR",SM!$D:$D,$E269))</f>
        <v>109.65</v>
      </c>
      <c r="G274" s="46">
        <f>ABS(SUMIFS(SM!H:H,SM!$C:$C,"JUR",SM!$D:$D,$E269))</f>
        <v>121.11</v>
      </c>
      <c r="H274" s="64"/>
      <c r="I274" s="61">
        <f>AVERAGE(E274:G274)</f>
        <v>109.90333333333335</v>
      </c>
      <c r="J274" s="4">
        <f t="shared" ref="J274:U274" si="662">I274</f>
        <v>109.90333333333335</v>
      </c>
      <c r="K274" s="4">
        <f t="shared" si="662"/>
        <v>109.90333333333335</v>
      </c>
      <c r="L274" s="4">
        <f t="shared" si="662"/>
        <v>109.90333333333335</v>
      </c>
      <c r="M274" s="4">
        <f t="shared" si="662"/>
        <v>109.90333333333335</v>
      </c>
      <c r="N274" s="4">
        <f t="shared" si="662"/>
        <v>109.90333333333335</v>
      </c>
      <c r="O274" s="4">
        <f t="shared" si="662"/>
        <v>109.90333333333335</v>
      </c>
      <c r="P274" s="4">
        <f t="shared" si="662"/>
        <v>109.90333333333335</v>
      </c>
      <c r="Q274" s="4">
        <f t="shared" si="662"/>
        <v>109.90333333333335</v>
      </c>
      <c r="R274" s="4">
        <f t="shared" si="662"/>
        <v>109.90333333333335</v>
      </c>
      <c r="S274" s="4">
        <f t="shared" si="662"/>
        <v>109.90333333333335</v>
      </c>
      <c r="T274" s="4">
        <f t="shared" si="662"/>
        <v>109.90333333333335</v>
      </c>
      <c r="U274" s="4">
        <f t="shared" si="662"/>
        <v>109.90333333333335</v>
      </c>
    </row>
    <row r="275" spans="1:36" s="7" customFormat="1" ht="16.5" x14ac:dyDescent="0.35">
      <c r="A275" s="255" t="s">
        <v>524</v>
      </c>
      <c r="B275" s="256" t="s">
        <v>520</v>
      </c>
      <c r="C275" s="271">
        <f t="shared" si="656"/>
        <v>0.16164383561643836</v>
      </c>
      <c r="D275" s="271">
        <f t="shared" si="657"/>
        <v>0.18173515981735158</v>
      </c>
      <c r="E275" s="258">
        <f>ABS(SUMIFS(SM!F:F,SM!$C:$C,"OMA",SM!$D:$D,$E269))</f>
        <v>73</v>
      </c>
      <c r="F275" s="258">
        <f>ABS(SUMIFS(SM!G:G,SM!$C:$C,"OMA",SM!$D:$D,$E269))</f>
        <v>67</v>
      </c>
      <c r="G275" s="258">
        <f>ABS(SUMIFS(SM!H:H,SM!$C:$C,"OMA",SM!$D:$D,$E269))</f>
        <v>59</v>
      </c>
      <c r="H275" s="258"/>
      <c r="I275" s="275">
        <f>AVERAGE(E275:G275)</f>
        <v>66.333333333333329</v>
      </c>
      <c r="J275" s="259">
        <f t="shared" ref="J275:U275" si="663">I275</f>
        <v>66.333333333333329</v>
      </c>
      <c r="K275" s="259">
        <f t="shared" si="663"/>
        <v>66.333333333333329</v>
      </c>
      <c r="L275" s="259">
        <f t="shared" si="663"/>
        <v>66.333333333333329</v>
      </c>
      <c r="M275" s="259">
        <f t="shared" si="663"/>
        <v>66.333333333333329</v>
      </c>
      <c r="N275" s="259">
        <f t="shared" si="663"/>
        <v>66.333333333333329</v>
      </c>
      <c r="O275" s="259">
        <f t="shared" si="663"/>
        <v>66.333333333333329</v>
      </c>
      <c r="P275" s="259">
        <f t="shared" si="663"/>
        <v>66.333333333333329</v>
      </c>
      <c r="Q275" s="259">
        <f t="shared" si="663"/>
        <v>66.333333333333329</v>
      </c>
      <c r="R275" s="259">
        <f t="shared" si="663"/>
        <v>66.333333333333329</v>
      </c>
      <c r="S275" s="259">
        <f t="shared" si="663"/>
        <v>66.333333333333329</v>
      </c>
      <c r="T275" s="259">
        <f t="shared" si="663"/>
        <v>66.333333333333329</v>
      </c>
      <c r="U275" s="259">
        <f t="shared" si="663"/>
        <v>66.333333333333329</v>
      </c>
      <c r="W275" s="318"/>
      <c r="X275" s="332"/>
      <c r="Y275" s="332"/>
      <c r="Z275" s="332"/>
      <c r="AA275" s="332"/>
      <c r="AB275" s="332"/>
      <c r="AC275" s="332"/>
      <c r="AD275" s="332"/>
      <c r="AE275" s="332"/>
      <c r="AF275" s="332"/>
      <c r="AG275" s="332"/>
      <c r="AH275" s="332"/>
      <c r="AI275" s="332"/>
      <c r="AJ275" s="332"/>
    </row>
    <row r="276" spans="1:36" ht="16.5" x14ac:dyDescent="0.35">
      <c r="A276" s="30" t="s">
        <v>130</v>
      </c>
      <c r="B276" s="31" t="s">
        <v>125</v>
      </c>
      <c r="C276" s="232">
        <f t="shared" si="656"/>
        <v>0</v>
      </c>
      <c r="D276" s="226">
        <f t="shared" si="657"/>
        <v>0.80207288537532573</v>
      </c>
      <c r="E276" s="210">
        <f>E271-E272-E275</f>
        <v>0</v>
      </c>
      <c r="F276" s="210">
        <f>F271-F272-F275</f>
        <v>0</v>
      </c>
      <c r="G276" s="210">
        <f>G271-G272-G275</f>
        <v>0</v>
      </c>
      <c r="H276" s="64"/>
      <c r="I276" s="47">
        <f t="shared" ref="I276:U276" si="664">I277*I271</f>
        <v>272.04018518518518</v>
      </c>
      <c r="J276" s="4">
        <f t="shared" si="664"/>
        <v>273.94880264311087</v>
      </c>
      <c r="K276" s="4">
        <f t="shared" si="664"/>
        <v>275.81292923214977</v>
      </c>
      <c r="L276" s="4">
        <f t="shared" si="664"/>
        <v>277.62521783633923</v>
      </c>
      <c r="M276" s="4">
        <f t="shared" si="664"/>
        <v>279.38811749433341</v>
      </c>
      <c r="N276" s="4">
        <f t="shared" si="664"/>
        <v>281.11428157251294</v>
      </c>
      <c r="O276" s="4">
        <f t="shared" si="664"/>
        <v>282.80452641709593</v>
      </c>
      <c r="P276" s="4">
        <f t="shared" si="664"/>
        <v>284.47721981798963</v>
      </c>
      <c r="Q276" s="4">
        <f t="shared" si="664"/>
        <v>286.13562716006658</v>
      </c>
      <c r="R276" s="4">
        <f t="shared" si="664"/>
        <v>287.7858710399625</v>
      </c>
      <c r="S276" s="4">
        <f t="shared" si="664"/>
        <v>289.43121684254987</v>
      </c>
      <c r="T276" s="4">
        <f t="shared" si="664"/>
        <v>291.08554245353628</v>
      </c>
      <c r="U276" s="4">
        <f t="shared" si="664"/>
        <v>292.75660316199389</v>
      </c>
    </row>
    <row r="277" spans="1:36" x14ac:dyDescent="0.35">
      <c r="A277" s="30" t="s">
        <v>130</v>
      </c>
      <c r="B277" s="31" t="s">
        <v>131</v>
      </c>
      <c r="C277" s="179">
        <f>G277</f>
        <v>0</v>
      </c>
      <c r="D277" s="54">
        <f>U277</f>
        <v>0.1</v>
      </c>
      <c r="E277" s="223">
        <f>IFERROR(E276/E271,"")</f>
        <v>0</v>
      </c>
      <c r="F277" s="223">
        <f>IFERROR(F276/F271,"")</f>
        <v>0</v>
      </c>
      <c r="G277" s="223">
        <f>IFERROR(G276/G271,"")</f>
        <v>0</v>
      </c>
      <c r="H277" s="49"/>
      <c r="I277" s="362">
        <v>0.1</v>
      </c>
      <c r="J277" s="364">
        <f t="shared" ref="J277:U277" si="665">I277</f>
        <v>0.1</v>
      </c>
      <c r="K277" s="364">
        <f t="shared" si="665"/>
        <v>0.1</v>
      </c>
      <c r="L277" s="364">
        <f t="shared" si="665"/>
        <v>0.1</v>
      </c>
      <c r="M277" s="364">
        <f t="shared" si="665"/>
        <v>0.1</v>
      </c>
      <c r="N277" s="364">
        <f t="shared" si="665"/>
        <v>0.1</v>
      </c>
      <c r="O277" s="364">
        <f t="shared" si="665"/>
        <v>0.1</v>
      </c>
      <c r="P277" s="364">
        <f t="shared" si="665"/>
        <v>0.1</v>
      </c>
      <c r="Q277" s="364">
        <f t="shared" si="665"/>
        <v>0.1</v>
      </c>
      <c r="R277" s="364">
        <f t="shared" si="665"/>
        <v>0.1</v>
      </c>
      <c r="S277" s="364">
        <f t="shared" si="665"/>
        <v>0.1</v>
      </c>
      <c r="T277" s="364">
        <f t="shared" si="665"/>
        <v>0.1</v>
      </c>
      <c r="U277" s="364">
        <f t="shared" si="665"/>
        <v>0.1</v>
      </c>
      <c r="W277" s="319"/>
      <c r="X277" s="333"/>
      <c r="Y277" s="333"/>
      <c r="Z277" s="333"/>
      <c r="AA277" s="333"/>
      <c r="AB277" s="333"/>
      <c r="AC277" s="333"/>
      <c r="AD277" s="333"/>
      <c r="AE277" s="333"/>
      <c r="AF277" s="333"/>
      <c r="AG277" s="333"/>
      <c r="AH277" s="333"/>
      <c r="AI277" s="333"/>
      <c r="AJ277" s="333"/>
    </row>
    <row r="278" spans="1:36" x14ac:dyDescent="0.35">
      <c r="A278" s="30" t="s">
        <v>128</v>
      </c>
      <c r="B278" s="31" t="s">
        <v>129</v>
      </c>
      <c r="C278" s="53">
        <f>G278</f>
        <v>75</v>
      </c>
      <c r="D278" s="53">
        <f>U278</f>
        <v>75</v>
      </c>
      <c r="E278" s="46">
        <f>IFERROR(E273/E279/365*1000,0)</f>
        <v>70.656874071629019</v>
      </c>
      <c r="F278" s="46">
        <f>IFERROR(F273/F279/365*1000,0)</f>
        <v>75.367552401386405</v>
      </c>
      <c r="G278" s="167">
        <v>75</v>
      </c>
      <c r="H278" s="46"/>
      <c r="I278" s="61">
        <v>75</v>
      </c>
      <c r="J278" s="4">
        <f>IF(I278=0,0,IF(I278&gt;Veehind!$B$16,I278,I278+(Veehind!$B$16-$I278)/12))</f>
        <v>75</v>
      </c>
      <c r="K278" s="4">
        <f>IF(J278=0,0,IF(J278&gt;Veehind!$B$16,J278,J278+(Veehind!$B$16-$I278)/12))</f>
        <v>75</v>
      </c>
      <c r="L278" s="4">
        <f>IF(K278=0,0,IF(K278&gt;Veehind!$B$16,K278,K278+(Veehind!$B$16-$I278)/12))</f>
        <v>75</v>
      </c>
      <c r="M278" s="4">
        <f>IF(L278=0,0,IF(L278&gt;Veehind!$B$16,L278,L278+(Veehind!$B$16-$I278)/12))</f>
        <v>75</v>
      </c>
      <c r="N278" s="4">
        <f>IF(M278=0,0,IF(M278&gt;Veehind!$B$16,M278,M278+(Veehind!$B$16-$I278)/12))</f>
        <v>75</v>
      </c>
      <c r="O278" s="4">
        <f>IF(N278=0,0,IF(N278&gt;Veehind!$B$16,N278,N278+(Veehind!$B$16-$I278)/12))</f>
        <v>75</v>
      </c>
      <c r="P278" s="4">
        <f>IF(O278=0,0,IF(O278&gt;Veehind!$B$16,O278,O278+(Veehind!$B$16-$I278)/12))</f>
        <v>75</v>
      </c>
      <c r="Q278" s="4">
        <f>IF(P278=0,0,IF(P278&gt;Veehind!$B$16,P278,P278+(Veehind!$B$16-$I278)/12))</f>
        <v>75</v>
      </c>
      <c r="R278" s="4">
        <f>IF(Q278=0,0,IF(Q278&gt;Veehind!$B$16,Q278,Q278+(Veehind!$B$16-$I278)/12))</f>
        <v>75</v>
      </c>
      <c r="S278" s="4">
        <f>IF(R278=0,0,IF(R278&gt;Veehind!$B$16,R278,R278+(Veehind!$B$16-$I278)/12))</f>
        <v>75</v>
      </c>
      <c r="T278" s="4">
        <f>IF(S278=0,0,IF(S278&gt;Veehind!$B$16,S278,S278+(Veehind!$B$16-$I278)/12))</f>
        <v>75</v>
      </c>
      <c r="U278" s="4">
        <f>IF(T278=0,0,IF(T278&gt;Veehind!$B$16,T278,T278+(Veehind!$B$16-$I278)/12))</f>
        <v>75</v>
      </c>
    </row>
    <row r="279" spans="1:36" x14ac:dyDescent="0.35">
      <c r="A279" s="77" t="s">
        <v>136</v>
      </c>
      <c r="B279" s="78" t="s">
        <v>137</v>
      </c>
      <c r="C279" s="355">
        <f>G279</f>
        <v>83</v>
      </c>
      <c r="D279" s="355">
        <f>U279</f>
        <v>89.810877143060381</v>
      </c>
      <c r="E279" s="213">
        <f>VLOOKUP($A269,Elanikud!$A$1:$S$20,Elanikud!B$21,FALSE)</f>
        <v>83</v>
      </c>
      <c r="F279" s="213">
        <f>VLOOKUP($A269,Elanikud!$A$1:$S$20,Elanikud!C$21,FALSE)</f>
        <v>83</v>
      </c>
      <c r="G279" s="213">
        <f>VLOOKUP($A269,Elanikud!$A$1:$S$20,Elanikud!D$21,FALSE)</f>
        <v>83</v>
      </c>
      <c r="H279" s="213">
        <f>VLOOKUP($A269,Elanikud!$A$1:$S$20,Elanikud!E$21,FALSE)</f>
        <v>83</v>
      </c>
      <c r="I279" s="62">
        <f>VLOOKUP($A269,Elanikud!$A$1:$S$20,Elanikud!E$21,FALSE)</f>
        <v>83</v>
      </c>
      <c r="J279" s="241">
        <f>VLOOKUP($A269,Elanikud!$A$1:$S$20,Elanikud!F$21,FALSE)</f>
        <v>83.62749067109884</v>
      </c>
      <c r="K279" s="241">
        <f>VLOOKUP($A269,Elanikud!$A$1:$S$20,Elanikud!G$21,FALSE)</f>
        <v>84.240354207221245</v>
      </c>
      <c r="L279" s="241">
        <f>VLOOKUP($A269,Elanikud!$A$1:$S$20,Elanikud!H$21,FALSE)</f>
        <v>84.836175118187626</v>
      </c>
      <c r="M279" s="241">
        <f>VLOOKUP($A269,Elanikud!$A$1:$S$20,Elanikud!I$21,FALSE)</f>
        <v>85.415758567391194</v>
      </c>
      <c r="N279" s="241">
        <f>VLOOKUP($A269,Elanikud!$A$1:$S$20,Elanikud!J$21,FALSE)</f>
        <v>85.983264565696786</v>
      </c>
      <c r="O279" s="241">
        <f>VLOOKUP($A269,Elanikud!$A$1:$S$20,Elanikud!K$21,FALSE)</f>
        <v>86.538961500902161</v>
      </c>
      <c r="P279" s="241">
        <f>VLOOKUP($A269,Elanikud!$A$1:$S$20,Elanikud!L$21,FALSE)</f>
        <v>87.088888098456266</v>
      </c>
      <c r="Q279" s="241">
        <f>VLOOKUP($A269,Elanikud!$A$1:$S$20,Elanikud!M$21,FALSE)</f>
        <v>87.634117909550056</v>
      </c>
      <c r="R279" s="241">
        <f>VLOOKUP($A269,Elanikud!$A$1:$S$20,Elanikud!N$21,FALSE)</f>
        <v>88.176663842666528</v>
      </c>
      <c r="S279" s="241">
        <f>VLOOKUP($A269,Elanikud!$A$1:$S$20,Elanikud!O$21,FALSE)</f>
        <v>88.717599448996594</v>
      </c>
      <c r="T279" s="241">
        <f>VLOOKUP($A269,Elanikud!$A$1:$S$20,Elanikud!P$21,FALSE)</f>
        <v>89.261487321101725</v>
      </c>
      <c r="U279" s="241">
        <f>VLOOKUP($A269,Elanikud!$A$1:$S$20,Elanikud!Q$21,FALSE)</f>
        <v>89.810877143060381</v>
      </c>
    </row>
    <row r="280" spans="1:36" x14ac:dyDescent="0.35">
      <c r="A280" s="35" t="s">
        <v>43</v>
      </c>
      <c r="B280" s="33"/>
      <c r="C280" s="33"/>
      <c r="D280" s="33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W280" s="319"/>
      <c r="X280" s="333"/>
      <c r="Y280" s="333"/>
      <c r="Z280" s="333"/>
      <c r="AA280" s="333"/>
      <c r="AB280" s="333"/>
      <c r="AC280" s="333"/>
      <c r="AD280" s="333"/>
      <c r="AE280" s="333"/>
      <c r="AF280" s="333"/>
      <c r="AG280" s="333"/>
      <c r="AH280" s="333"/>
      <c r="AI280" s="333"/>
      <c r="AJ280" s="333"/>
    </row>
    <row r="281" spans="1:36" ht="16.5" x14ac:dyDescent="0.35">
      <c r="A281" s="30" t="s">
        <v>132</v>
      </c>
      <c r="B281" s="31" t="s">
        <v>125</v>
      </c>
      <c r="C281" s="238">
        <f>G281*4/365</f>
        <v>4.9887123287671233</v>
      </c>
      <c r="D281" s="226">
        <f t="shared" ref="D281:D286" si="666">U281/365</f>
        <v>8.007234829622254</v>
      </c>
      <c r="E281" s="214">
        <f t="shared" ref="E281:F281" si="667">E282+E286</f>
        <v>0</v>
      </c>
      <c r="F281" s="214">
        <f t="shared" si="667"/>
        <v>0</v>
      </c>
      <c r="G281" s="214">
        <f>G282+G286</f>
        <v>455.22</v>
      </c>
      <c r="H281" s="45"/>
      <c r="I281" s="47">
        <f>(I282+I285)/(100%-I287)</f>
        <v>2701</v>
      </c>
      <c r="J281" s="4">
        <f t="shared" ref="J281" si="668">(J282+J285)/(100%-J287)</f>
        <v>2721.4199072606984</v>
      </c>
      <c r="K281" s="4">
        <f t="shared" ref="K281" si="669">(K282+K285)/(100%-K287)</f>
        <v>2741.3638158277663</v>
      </c>
      <c r="L281" s="4">
        <f t="shared" ref="L281" si="670">(L282+L285)/(100%-L287)</f>
        <v>2760.7531204123475</v>
      </c>
      <c r="M281" s="4">
        <f t="shared" ref="M281" si="671">(M282+M285)/(100%-M287)</f>
        <v>2779.6140227773935</v>
      </c>
      <c r="N281" s="4">
        <f t="shared" ref="N281" si="672">(N282+N285)/(100%-N287)</f>
        <v>2798.0818986981581</v>
      </c>
      <c r="O281" s="4">
        <f t="shared" ref="O281" si="673">(O282+O285)/(100%-O287)</f>
        <v>2816.1654820956242</v>
      </c>
      <c r="P281" s="4">
        <f t="shared" ref="P281" si="674">(P282+P285)/(100%-P287)</f>
        <v>2834.061286191933</v>
      </c>
      <c r="Q281" s="4">
        <f t="shared" ref="Q281" si="675">(Q282+Q285)/(100%-Q287)</f>
        <v>2851.8042466710217</v>
      </c>
      <c r="R281" s="4">
        <f t="shared" ref="R281" si="676">(R282+R285)/(100%-R287)</f>
        <v>2869.4598679402698</v>
      </c>
      <c r="S281" s="4">
        <f t="shared" ref="S281" si="677">(S282+S285)/(100%-S287)</f>
        <v>2887.0630856836137</v>
      </c>
      <c r="T281" s="4">
        <f t="shared" ref="T281" si="678">(T282+T285)/(100%-T287)</f>
        <v>2904.7623765577814</v>
      </c>
      <c r="U281" s="4">
        <f t="shared" ref="U281" si="679">(U282+U285)/(100%-U287)</f>
        <v>2922.6407128121227</v>
      </c>
      <c r="Z281" s="337"/>
      <c r="AA281" s="337"/>
      <c r="AB281" s="337"/>
      <c r="AC281" s="337"/>
      <c r="AD281" s="337"/>
      <c r="AE281" s="337"/>
      <c r="AF281" s="337"/>
      <c r="AG281" s="337"/>
      <c r="AH281" s="337"/>
      <c r="AI281" s="337"/>
      <c r="AJ281" s="337"/>
    </row>
    <row r="282" spans="1:36" ht="16.5" x14ac:dyDescent="0.35">
      <c r="A282" s="30" t="s">
        <v>133</v>
      </c>
      <c r="B282" s="31" t="s">
        <v>125</v>
      </c>
      <c r="C282" s="238">
        <f>G282/365*4</f>
        <v>4.8030684931506853</v>
      </c>
      <c r="D282" s="226">
        <f t="shared" si="666"/>
        <v>6.0054261222166909</v>
      </c>
      <c r="E282" s="45"/>
      <c r="F282" s="45"/>
      <c r="G282" s="45">
        <f>G283+G284</f>
        <v>438.28000000000003</v>
      </c>
      <c r="H282" s="45"/>
      <c r="I282" s="48">
        <f t="shared" ref="I282" si="680">I283+I284</f>
        <v>2025.75</v>
      </c>
      <c r="J282" s="12">
        <f t="shared" ref="J282" si="681">J283+J284</f>
        <v>2041.0649304455237</v>
      </c>
      <c r="K282" s="12">
        <f t="shared" ref="K282" si="682">K283+K284</f>
        <v>2056.0228618708247</v>
      </c>
      <c r="L282" s="12">
        <f t="shared" ref="L282" si="683">L283+L284</f>
        <v>2070.5648403092605</v>
      </c>
      <c r="M282" s="12">
        <f t="shared" ref="M282" si="684">M283+M284</f>
        <v>2084.710517083045</v>
      </c>
      <c r="N282" s="12">
        <f t="shared" ref="N282" si="685">N283+N284</f>
        <v>2098.5614240236187</v>
      </c>
      <c r="O282" s="12">
        <f t="shared" ref="O282" si="686">O283+O284</f>
        <v>2112.124111571718</v>
      </c>
      <c r="P282" s="12">
        <f t="shared" ref="P282" si="687">P283+P284</f>
        <v>2125.5459646439499</v>
      </c>
      <c r="Q282" s="12">
        <f t="shared" ref="Q282" si="688">Q283+Q284</f>
        <v>2138.8531850032664</v>
      </c>
      <c r="R282" s="12">
        <f t="shared" ref="R282" si="689">R283+R284</f>
        <v>2152.0949009552023</v>
      </c>
      <c r="S282" s="12">
        <f t="shared" ref="S282" si="690">S283+S284</f>
        <v>2165.2973142627102</v>
      </c>
      <c r="T282" s="12">
        <f t="shared" ref="T282" si="691">T283+T284</f>
        <v>2178.5717824183362</v>
      </c>
      <c r="U282" s="12">
        <f t="shared" ref="U282" si="692">U283+U284</f>
        <v>2191.980534609092</v>
      </c>
    </row>
    <row r="283" spans="1:36" ht="16.5" x14ac:dyDescent="0.35">
      <c r="A283" s="30" t="s">
        <v>134</v>
      </c>
      <c r="B283" s="31" t="s">
        <v>125</v>
      </c>
      <c r="C283" s="238">
        <f>G283/365*4</f>
        <v>4.8030684931506853</v>
      </c>
      <c r="D283" s="226">
        <f t="shared" si="666"/>
        <v>6.0054261222166909</v>
      </c>
      <c r="E283" s="45"/>
      <c r="F283" s="45"/>
      <c r="G283" s="45">
        <f>ABS(SUMIFS(SM!K:K,SM!$C:$C,"era",SM!$D:$D,$E269))</f>
        <v>438.28000000000003</v>
      </c>
      <c r="H283" s="71"/>
      <c r="I283" s="47">
        <f t="shared" ref="I283:U283" si="693">I289*I288*365/1000</f>
        <v>2025.75</v>
      </c>
      <c r="J283" s="4">
        <f t="shared" si="693"/>
        <v>2041.0649304455237</v>
      </c>
      <c r="K283" s="4">
        <f t="shared" si="693"/>
        <v>2056.0228618708247</v>
      </c>
      <c r="L283" s="4">
        <f t="shared" si="693"/>
        <v>2070.5648403092605</v>
      </c>
      <c r="M283" s="4">
        <f t="shared" si="693"/>
        <v>2084.710517083045</v>
      </c>
      <c r="N283" s="4">
        <f t="shared" si="693"/>
        <v>2098.5614240236187</v>
      </c>
      <c r="O283" s="4">
        <f t="shared" si="693"/>
        <v>2112.124111571718</v>
      </c>
      <c r="P283" s="4">
        <f t="shared" si="693"/>
        <v>2125.5459646439499</v>
      </c>
      <c r="Q283" s="4">
        <f t="shared" si="693"/>
        <v>2138.8531850032664</v>
      </c>
      <c r="R283" s="4">
        <f t="shared" si="693"/>
        <v>2152.0949009552023</v>
      </c>
      <c r="S283" s="4">
        <f t="shared" si="693"/>
        <v>2165.2973142627102</v>
      </c>
      <c r="T283" s="4">
        <f t="shared" si="693"/>
        <v>2178.5717824183362</v>
      </c>
      <c r="U283" s="4">
        <f t="shared" si="693"/>
        <v>2191.980534609092</v>
      </c>
    </row>
    <row r="284" spans="1:36" ht="16.5" x14ac:dyDescent="0.35">
      <c r="A284" s="30" t="s">
        <v>498</v>
      </c>
      <c r="B284" s="31" t="s">
        <v>125</v>
      </c>
      <c r="C284" s="238">
        <f>G284/365*4</f>
        <v>0</v>
      </c>
      <c r="D284" s="226">
        <f t="shared" si="666"/>
        <v>0</v>
      </c>
      <c r="E284" s="45"/>
      <c r="F284" s="45"/>
      <c r="G284" s="45">
        <f>ABS(SUMIFS(SM!K:K,SM!$C:$C,"jur",SM!$D:$D,$E269))</f>
        <v>0</v>
      </c>
      <c r="H284" s="71"/>
      <c r="I284" s="76">
        <f>G284</f>
        <v>0</v>
      </c>
      <c r="J284" s="4">
        <f t="shared" ref="J284:U284" si="694">I284</f>
        <v>0</v>
      </c>
      <c r="K284" s="4">
        <f t="shared" si="694"/>
        <v>0</v>
      </c>
      <c r="L284" s="4">
        <f t="shared" si="694"/>
        <v>0</v>
      </c>
      <c r="M284" s="4">
        <f t="shared" si="694"/>
        <v>0</v>
      </c>
      <c r="N284" s="4">
        <f t="shared" si="694"/>
        <v>0</v>
      </c>
      <c r="O284" s="4">
        <f t="shared" si="694"/>
        <v>0</v>
      </c>
      <c r="P284" s="4">
        <f t="shared" si="694"/>
        <v>0</v>
      </c>
      <c r="Q284" s="4">
        <f t="shared" si="694"/>
        <v>0</v>
      </c>
      <c r="R284" s="4">
        <f t="shared" si="694"/>
        <v>0</v>
      </c>
      <c r="S284" s="4">
        <f t="shared" si="694"/>
        <v>0</v>
      </c>
      <c r="T284" s="4">
        <f t="shared" si="694"/>
        <v>0</v>
      </c>
      <c r="U284" s="4">
        <f t="shared" si="694"/>
        <v>0</v>
      </c>
    </row>
    <row r="285" spans="1:36" s="70" customFormat="1" x14ac:dyDescent="0.35">
      <c r="A285" s="260" t="s">
        <v>525</v>
      </c>
      <c r="B285" s="261" t="s">
        <v>521</v>
      </c>
      <c r="C285" s="262">
        <f>G285/365</f>
        <v>0</v>
      </c>
      <c r="D285" s="262">
        <f t="shared" si="666"/>
        <v>0</v>
      </c>
      <c r="E285" s="263">
        <f>ABS(SUMIFS(SM!I:I,SM!$C:$C,"OMA",SM!$D:$D,$E269))</f>
        <v>0</v>
      </c>
      <c r="F285" s="263">
        <f>ABS(SUMIFS(SM!J:J,SM!$C:$C,"OMA",SM!$D:$D,$E269))</f>
        <v>0</v>
      </c>
      <c r="G285" s="263">
        <f>ABS(SUMIFS(SM!K:K,SM!$C:$C,"OMA",SM!$D:$D,$E269))</f>
        <v>0</v>
      </c>
      <c r="H285" s="263"/>
      <c r="I285" s="276">
        <f>IFERROR(AVERAGE(E285:G285),0)</f>
        <v>0</v>
      </c>
      <c r="J285" s="264">
        <f t="shared" ref="J285:U285" si="695">I285</f>
        <v>0</v>
      </c>
      <c r="K285" s="264">
        <f t="shared" si="695"/>
        <v>0</v>
      </c>
      <c r="L285" s="264">
        <f t="shared" si="695"/>
        <v>0</v>
      </c>
      <c r="M285" s="264">
        <f t="shared" si="695"/>
        <v>0</v>
      </c>
      <c r="N285" s="264">
        <f t="shared" si="695"/>
        <v>0</v>
      </c>
      <c r="O285" s="264">
        <f t="shared" si="695"/>
        <v>0</v>
      </c>
      <c r="P285" s="264">
        <f t="shared" si="695"/>
        <v>0</v>
      </c>
      <c r="Q285" s="264">
        <f t="shared" si="695"/>
        <v>0</v>
      </c>
      <c r="R285" s="264">
        <f t="shared" si="695"/>
        <v>0</v>
      </c>
      <c r="S285" s="264">
        <f t="shared" si="695"/>
        <v>0</v>
      </c>
      <c r="T285" s="264">
        <f t="shared" si="695"/>
        <v>0</v>
      </c>
      <c r="U285" s="264">
        <f t="shared" si="695"/>
        <v>0</v>
      </c>
      <c r="W285" s="318"/>
      <c r="X285" s="332"/>
      <c r="Y285" s="332"/>
      <c r="Z285" s="332"/>
      <c r="AA285" s="332"/>
      <c r="AB285" s="332"/>
      <c r="AC285" s="332"/>
      <c r="AD285" s="332"/>
      <c r="AE285" s="332"/>
      <c r="AF285" s="332"/>
      <c r="AG285" s="332"/>
      <c r="AH285" s="332"/>
      <c r="AI285" s="332"/>
      <c r="AJ285" s="332"/>
    </row>
    <row r="286" spans="1:36" ht="16.5" x14ac:dyDescent="0.35">
      <c r="A286" s="30" t="s">
        <v>135</v>
      </c>
      <c r="B286" s="31" t="s">
        <v>125</v>
      </c>
      <c r="C286" s="238">
        <f>G286/365*4</f>
        <v>0.18564383561643832</v>
      </c>
      <c r="D286" s="226">
        <f t="shared" si="666"/>
        <v>2.0018087074055635</v>
      </c>
      <c r="E286" s="71">
        <f>ABS(SUMIFS(SM!I:I,SM!$C:$C,"KAD",SM!$D:$D,$E269))</f>
        <v>0</v>
      </c>
      <c r="F286" s="71">
        <f>ABS(SUMIFS(SM!J:J,SM!$C:$C,"KAD",SM!$D:$D,$E269))</f>
        <v>0</v>
      </c>
      <c r="G286" s="71">
        <f>ABS(SUMIFS(SM!K:K,SM!$C:$C,"KAD",SM!$D:$D,$E269))</f>
        <v>16.939999999999998</v>
      </c>
      <c r="H286" s="45"/>
      <c r="I286" s="47">
        <f>I287*I281</f>
        <v>675.25</v>
      </c>
      <c r="J286" s="4">
        <f t="shared" ref="J286" si="696">J287*J281</f>
        <v>680.35497681517461</v>
      </c>
      <c r="K286" s="4">
        <f t="shared" ref="K286" si="697">K287*K281</f>
        <v>685.34095395694158</v>
      </c>
      <c r="L286" s="4">
        <f t="shared" ref="L286" si="698">L287*L281</f>
        <v>690.18828010308687</v>
      </c>
      <c r="M286" s="4">
        <f t="shared" ref="M286" si="699">M287*M281</f>
        <v>694.90350569434838</v>
      </c>
      <c r="N286" s="4">
        <f t="shared" ref="N286" si="700">N287*N281</f>
        <v>699.52047467453951</v>
      </c>
      <c r="O286" s="4">
        <f t="shared" ref="O286" si="701">O287*O281</f>
        <v>704.04137052390604</v>
      </c>
      <c r="P286" s="4">
        <f t="shared" ref="P286" si="702">P287*P281</f>
        <v>708.51532154798326</v>
      </c>
      <c r="Q286" s="4">
        <f t="shared" ref="Q286" si="703">Q287*Q281</f>
        <v>712.95106166775543</v>
      </c>
      <c r="R286" s="4">
        <f t="shared" ref="R286" si="704">R287*R281</f>
        <v>717.36496698506744</v>
      </c>
      <c r="S286" s="4">
        <f t="shared" ref="S286" si="705">S287*S281</f>
        <v>721.76577142090343</v>
      </c>
      <c r="T286" s="4">
        <f t="shared" ref="T286" si="706">T287*T281</f>
        <v>726.19059413944535</v>
      </c>
      <c r="U286" s="4">
        <f t="shared" ref="U286" si="707">U287*U281</f>
        <v>730.66017820303068</v>
      </c>
    </row>
    <row r="287" spans="1:36" x14ac:dyDescent="0.35">
      <c r="A287" s="30" t="s">
        <v>135</v>
      </c>
      <c r="B287" s="31" t="s">
        <v>131</v>
      </c>
      <c r="C287" s="239">
        <f>G287</f>
        <v>3.7212776240059746E-2</v>
      </c>
      <c r="D287" s="54">
        <f>U287</f>
        <v>0.25</v>
      </c>
      <c r="E287" s="50"/>
      <c r="F287" s="50"/>
      <c r="G287" s="50">
        <f t="shared" ref="G287" si="708">IFERROR(G286/G281,"")</f>
        <v>3.7212776240059746E-2</v>
      </c>
      <c r="H287" s="50" t="str">
        <f t="shared" ref="H287" si="709">IFERROR(H286/H281,"")</f>
        <v/>
      </c>
      <c r="I287" s="227">
        <f>$AK$47</f>
        <v>0.25</v>
      </c>
      <c r="J287" s="38">
        <f t="shared" ref="J287:U287" si="710">I287</f>
        <v>0.25</v>
      </c>
      <c r="K287" s="38">
        <f t="shared" si="710"/>
        <v>0.25</v>
      </c>
      <c r="L287" s="38">
        <f t="shared" si="710"/>
        <v>0.25</v>
      </c>
      <c r="M287" s="38">
        <f t="shared" si="710"/>
        <v>0.25</v>
      </c>
      <c r="N287" s="38">
        <f t="shared" si="710"/>
        <v>0.25</v>
      </c>
      <c r="O287" s="38">
        <f t="shared" si="710"/>
        <v>0.25</v>
      </c>
      <c r="P287" s="38">
        <f t="shared" si="710"/>
        <v>0.25</v>
      </c>
      <c r="Q287" s="38">
        <f t="shared" si="710"/>
        <v>0.25</v>
      </c>
      <c r="R287" s="38">
        <f t="shared" si="710"/>
        <v>0.25</v>
      </c>
      <c r="S287" s="38">
        <f t="shared" si="710"/>
        <v>0.25</v>
      </c>
      <c r="T287" s="38">
        <f t="shared" si="710"/>
        <v>0.25</v>
      </c>
      <c r="U287" s="38">
        <f t="shared" si="710"/>
        <v>0.25</v>
      </c>
    </row>
    <row r="288" spans="1:36" s="70" customFormat="1" x14ac:dyDescent="0.35">
      <c r="A288" s="181" t="s">
        <v>128</v>
      </c>
      <c r="B288" s="182" t="s">
        <v>129</v>
      </c>
      <c r="C288" s="211">
        <f>G288</f>
        <v>64.906330988522782</v>
      </c>
      <c r="D288" s="211">
        <f>U288</f>
        <v>75</v>
      </c>
      <c r="E288" s="71"/>
      <c r="F288" s="71"/>
      <c r="G288" s="214">
        <f>IFERROR(G283*4/G289/365*1000,0)</f>
        <v>64.906330988522782</v>
      </c>
      <c r="H288" s="71"/>
      <c r="I288" s="76">
        <f>I278</f>
        <v>75</v>
      </c>
      <c r="J288" s="4">
        <f>IF(I288=0,0,IF(I288&gt;Veehind!$B$16,I288,I288+(Veehind!$B$16-$I288)/12))</f>
        <v>75</v>
      </c>
      <c r="K288" s="4">
        <f>IF(J288=0,0,IF(J288&gt;Veehind!$B$16,J288,J288+(Veehind!$B$16-$I288)/12))</f>
        <v>75</v>
      </c>
      <c r="L288" s="4">
        <f>IF(K288=0,0,IF(K288&gt;Veehind!$B$16,K288,K288+(Veehind!$B$16-$I288)/12))</f>
        <v>75</v>
      </c>
      <c r="M288" s="4">
        <f>IF(L288=0,0,IF(L288&gt;Veehind!$B$16,L288,L288+(Veehind!$B$16-$I288)/12))</f>
        <v>75</v>
      </c>
      <c r="N288" s="4">
        <f>IF(M288=0,0,IF(M288&gt;Veehind!$B$16,M288,M288+(Veehind!$B$16-$I288)/12))</f>
        <v>75</v>
      </c>
      <c r="O288" s="4">
        <f>IF(N288=0,0,IF(N288&gt;Veehind!$B$16,N288,N288+(Veehind!$B$16-$I288)/12))</f>
        <v>75</v>
      </c>
      <c r="P288" s="4">
        <f>IF(O288=0,0,IF(O288&gt;Veehind!$B$16,O288,O288+(Veehind!$B$16-$I288)/12))</f>
        <v>75</v>
      </c>
      <c r="Q288" s="4">
        <f>IF(P288=0,0,IF(P288&gt;Veehind!$B$16,P288,P288+(Veehind!$B$16-$I288)/12))</f>
        <v>75</v>
      </c>
      <c r="R288" s="4">
        <f>IF(Q288=0,0,IF(Q288&gt;Veehind!$B$16,Q288,Q288+(Veehind!$B$16-$I288)/12))</f>
        <v>75</v>
      </c>
      <c r="S288" s="4">
        <f>IF(R288=0,0,IF(R288&gt;Veehind!$B$16,R288,R288+(Veehind!$B$16-$I288)/12))</f>
        <v>75</v>
      </c>
      <c r="T288" s="4">
        <f>IF(S288=0,0,IF(S288&gt;Veehind!$B$16,S288,S288+(Veehind!$B$16-$I288)/12))</f>
        <v>75</v>
      </c>
      <c r="U288" s="4">
        <f>IF(T288=0,0,IF(T288&gt;Veehind!$B$16,T288,T288+(Veehind!$B$16-$I288)/12))</f>
        <v>75</v>
      </c>
      <c r="W288" s="320"/>
      <c r="X288" s="334"/>
      <c r="Y288" s="334"/>
      <c r="Z288" s="334"/>
      <c r="AA288" s="334"/>
      <c r="AB288" s="334"/>
      <c r="AC288" s="334"/>
      <c r="AD288" s="334"/>
      <c r="AE288" s="334"/>
      <c r="AF288" s="334"/>
      <c r="AG288" s="334"/>
      <c r="AH288" s="334"/>
      <c r="AI288" s="334"/>
      <c r="AJ288" s="334"/>
    </row>
    <row r="289" spans="1:36" s="37" customFormat="1" x14ac:dyDescent="0.35">
      <c r="A289" s="77" t="s">
        <v>136</v>
      </c>
      <c r="B289" s="78" t="s">
        <v>137</v>
      </c>
      <c r="C289" s="355">
        <f>G289</f>
        <v>74</v>
      </c>
      <c r="D289" s="355">
        <f>U289</f>
        <v>80.072348296222529</v>
      </c>
      <c r="E289" s="215"/>
      <c r="F289" s="215"/>
      <c r="G289" s="215">
        <f>VLOOKUP($A269,Elanikud!$A$22:$S$41,Elanikud!D$21,FALSE)</f>
        <v>74</v>
      </c>
      <c r="H289" s="215">
        <f>VLOOKUP($A269,Elanikud!$A$22:$S$41,Elanikud!E$21,FALSE)</f>
        <v>74</v>
      </c>
      <c r="I289" s="62">
        <f>VLOOKUP($A269,Elanikud!$A$22:$S$41,Elanikud!E$21,FALSE)</f>
        <v>74</v>
      </c>
      <c r="J289" s="241">
        <f>VLOOKUP($A269,Elanikud!$A$22:$S$41,Elanikud!F$21,FALSE)</f>
        <v>74.559449513991737</v>
      </c>
      <c r="K289" s="241">
        <f>VLOOKUP($A269,Elanikud!$A$22:$S$41,Elanikud!G$21,FALSE)</f>
        <v>75.105857967884006</v>
      </c>
      <c r="L289" s="241">
        <f>VLOOKUP($A269,Elanikud!$A$22:$S$41,Elanikud!H$21,FALSE)</f>
        <v>75.637071792119102</v>
      </c>
      <c r="M289" s="241">
        <f>VLOOKUP($A269,Elanikud!$A$22:$S$41,Elanikud!I$21,FALSE)</f>
        <v>76.153808843216254</v>
      </c>
      <c r="N289" s="241">
        <f>VLOOKUP($A269,Elanikud!$A$22:$S$41,Elanikud!J$21,FALSE)</f>
        <v>76.659778046524863</v>
      </c>
      <c r="O289" s="241">
        <f>VLOOKUP($A269,Elanikud!$A$22:$S$41,Elanikud!K$21,FALSE)</f>
        <v>77.15521868755134</v>
      </c>
      <c r="P289" s="241">
        <f>VLOOKUP($A269,Elanikud!$A$22:$S$41,Elanikud!L$21,FALSE)</f>
        <v>77.645514690189955</v>
      </c>
      <c r="Q289" s="241">
        <f>VLOOKUP($A269,Elanikud!$A$22:$S$41,Elanikud!M$21,FALSE)</f>
        <v>78.13162319646635</v>
      </c>
      <c r="R289" s="241">
        <f>VLOOKUP($A269,Elanikud!$A$22:$S$41,Elanikud!N$21,FALSE)</f>
        <v>78.615338847678629</v>
      </c>
      <c r="S289" s="241">
        <f>VLOOKUP($A269,Elanikud!$A$22:$S$41,Elanikud!O$21,FALSE)</f>
        <v>79.097618785852418</v>
      </c>
      <c r="T289" s="241">
        <f>VLOOKUP($A269,Elanikud!$A$22:$S$41,Elanikud!P$21,FALSE)</f>
        <v>79.582530864596748</v>
      </c>
      <c r="U289" s="241">
        <f>VLOOKUP($A269,Elanikud!$A$22:$S$41,Elanikud!Q$21,FALSE)</f>
        <v>80.072348296222529</v>
      </c>
      <c r="V289"/>
      <c r="W289" s="318"/>
      <c r="X289" s="332"/>
      <c r="Y289" s="332"/>
      <c r="Z289" s="332"/>
      <c r="AA289" s="332"/>
      <c r="AB289" s="332"/>
      <c r="AC289" s="332"/>
      <c r="AD289" s="332"/>
      <c r="AE289" s="332"/>
      <c r="AF289" s="332"/>
      <c r="AG289" s="332"/>
      <c r="AH289" s="332"/>
      <c r="AI289" s="332"/>
      <c r="AJ289" s="332"/>
    </row>
    <row r="298" spans="1:36" x14ac:dyDescent="0.35">
      <c r="W298" s="319"/>
      <c r="X298" s="333"/>
      <c r="Y298" s="333"/>
      <c r="Z298" s="333"/>
      <c r="AA298" s="333"/>
      <c r="AB298" s="333"/>
      <c r="AC298" s="333"/>
      <c r="AD298" s="333"/>
      <c r="AE298" s="333"/>
      <c r="AF298" s="333"/>
      <c r="AG298" s="333"/>
      <c r="AH298" s="333"/>
      <c r="AI298" s="333"/>
      <c r="AJ298" s="333"/>
    </row>
    <row r="301" spans="1:36" x14ac:dyDescent="0.35">
      <c r="W301" s="319"/>
      <c r="X301" s="333"/>
      <c r="Y301" s="333"/>
      <c r="Z301" s="333"/>
      <c r="AA301" s="333"/>
      <c r="AB301" s="333"/>
      <c r="AC301" s="333"/>
      <c r="AD301" s="333"/>
      <c r="AE301" s="333"/>
      <c r="AF301" s="333"/>
      <c r="AG301" s="333"/>
      <c r="AH301" s="333"/>
      <c r="AI301" s="333"/>
      <c r="AJ301" s="333"/>
    </row>
    <row r="302" spans="1:36" x14ac:dyDescent="0.35">
      <c r="Z302" s="337"/>
      <c r="AA302" s="337"/>
      <c r="AB302" s="337"/>
      <c r="AC302" s="337"/>
      <c r="AD302" s="337"/>
      <c r="AE302" s="337"/>
      <c r="AF302" s="337"/>
      <c r="AG302" s="337"/>
      <c r="AH302" s="337"/>
      <c r="AI302" s="337"/>
      <c r="AJ302" s="337"/>
    </row>
    <row r="304" spans="1:36" x14ac:dyDescent="0.35">
      <c r="H304" s="3" t="s">
        <v>1070</v>
      </c>
      <c r="I304" s="3">
        <f>SUBTOTAL(9,I20:I282)</f>
        <v>3528316.7535472079</v>
      </c>
      <c r="J304" s="3">
        <f t="shared" ref="J304:U304" si="711">SUBTOTAL(9,J20:J282)</f>
        <v>3726226.2488382375</v>
      </c>
      <c r="K304" s="3">
        <f t="shared" si="711"/>
        <v>3976374.4920438062</v>
      </c>
      <c r="L304" s="3">
        <f t="shared" si="711"/>
        <v>4251446.9097524052</v>
      </c>
      <c r="M304" s="3">
        <f t="shared" si="711"/>
        <v>4409906.5967937633</v>
      </c>
      <c r="N304" s="3">
        <f t="shared" si="711"/>
        <v>4440582.6279557236</v>
      </c>
      <c r="O304" s="3">
        <f t="shared" si="711"/>
        <v>4471096.220423718</v>
      </c>
      <c r="P304" s="3">
        <f t="shared" si="711"/>
        <v>4501633.6467644405</v>
      </c>
      <c r="Q304" s="3">
        <f t="shared" si="711"/>
        <v>4532228.3424491156</v>
      </c>
      <c r="R304" s="3">
        <f t="shared" si="711"/>
        <v>4562943.8241174109</v>
      </c>
      <c r="S304" s="3">
        <f t="shared" si="711"/>
        <v>4593814.9058953868</v>
      </c>
      <c r="T304" s="3">
        <f t="shared" si="711"/>
        <v>4624987.5679349797</v>
      </c>
      <c r="U304" s="3">
        <f t="shared" si="711"/>
        <v>4656545.9352636402</v>
      </c>
    </row>
  </sheetData>
  <autoFilter ref="A1:U302" xr:uid="{C79CE28C-8C6B-42F3-9963-779FAFF590A8}"/>
  <mergeCells count="10">
    <mergeCell ref="W32:AJ32"/>
    <mergeCell ref="W41:AJ41"/>
    <mergeCell ref="W2:AJ2"/>
    <mergeCell ref="W11:AJ11"/>
    <mergeCell ref="X73:Y73"/>
    <mergeCell ref="Z73:AA73"/>
    <mergeCell ref="AB73:AC73"/>
    <mergeCell ref="AD73:AE73"/>
    <mergeCell ref="AF73:AG73"/>
    <mergeCell ref="W20:AJ20"/>
  </mergeCells>
  <conditionalFormatting sqref="X100:Y100">
    <cfRule type="cellIs" dxfId="163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DB707-DAB4-4E1B-8D26-B31277B2F94E}">
  <dimension ref="A1:AM104"/>
  <sheetViews>
    <sheetView topLeftCell="A13" zoomScaleNormal="100" workbookViewId="0">
      <selection activeCell="C49" sqref="C49"/>
    </sheetView>
  </sheetViews>
  <sheetFormatPr defaultColWidth="9.08984375" defaultRowHeight="14.5" outlineLevelRow="1" outlineLevelCol="1" x14ac:dyDescent="0.35"/>
  <cols>
    <col min="1" max="1" width="16.1796875" style="3" customWidth="1"/>
    <col min="2" max="2" width="9.08984375" style="3" customWidth="1" outlineLevel="1"/>
    <col min="3" max="3" width="18.1796875" style="3" customWidth="1" outlineLevel="1"/>
    <col min="4" max="5" width="9.08984375" style="3" customWidth="1" outlineLevel="1"/>
    <col min="6" max="9" width="9.08984375" style="3"/>
    <col min="10" max="14" width="8.81640625" style="3" customWidth="1"/>
    <col min="15" max="15" width="17" style="3" customWidth="1"/>
    <col min="16" max="16" width="12.453125" style="3" customWidth="1"/>
    <col min="17" max="17" width="15.36328125" style="3" customWidth="1"/>
    <col min="18" max="18" width="9.453125" style="3" customWidth="1"/>
    <col min="19" max="19" width="9.08984375" style="3"/>
    <col min="20" max="21" width="9.08984375" style="3" customWidth="1"/>
    <col min="22" max="16384" width="9.08984375" style="3"/>
  </cols>
  <sheetData>
    <row r="1" spans="1:21" s="9" customFormat="1" x14ac:dyDescent="0.35">
      <c r="A1" s="9" t="s">
        <v>21</v>
      </c>
      <c r="B1" s="9" t="s">
        <v>42</v>
      </c>
      <c r="F1" s="9" t="s">
        <v>219</v>
      </c>
      <c r="J1" s="9" t="s">
        <v>220</v>
      </c>
    </row>
    <row r="2" spans="1:21" x14ac:dyDescent="0.35">
      <c r="A2" s="10" t="s">
        <v>6</v>
      </c>
      <c r="B2" s="10">
        <v>2020</v>
      </c>
      <c r="C2" s="10">
        <v>2021</v>
      </c>
      <c r="D2" s="11">
        <v>2022</v>
      </c>
      <c r="E2" s="18">
        <v>2023</v>
      </c>
      <c r="F2" s="14">
        <v>2024</v>
      </c>
      <c r="G2" s="14">
        <v>2025</v>
      </c>
      <c r="H2" s="14">
        <v>2026</v>
      </c>
      <c r="I2" s="14">
        <v>2027</v>
      </c>
      <c r="J2" s="19">
        <v>2028</v>
      </c>
      <c r="K2" s="19">
        <v>2029</v>
      </c>
      <c r="L2" s="19">
        <v>2030</v>
      </c>
      <c r="M2" s="19">
        <v>2031</v>
      </c>
      <c r="N2" s="19">
        <v>2032</v>
      </c>
      <c r="O2" s="19">
        <v>2033</v>
      </c>
      <c r="P2" s="19">
        <v>2034</v>
      </c>
      <c r="Q2" s="19">
        <v>2035</v>
      </c>
    </row>
    <row r="3" spans="1:21" s="194" customFormat="1" x14ac:dyDescent="0.35">
      <c r="A3" s="193" t="s">
        <v>432</v>
      </c>
      <c r="B3" s="201">
        <f t="shared" ref="B3:D3" si="0">B$47/C$47*C3</f>
        <v>4171.4269040722438</v>
      </c>
      <c r="C3" s="201">
        <f t="shared" si="0"/>
        <v>4321.8795365479637</v>
      </c>
      <c r="D3" s="201">
        <f t="shared" si="0"/>
        <v>4500.2228659056054</v>
      </c>
      <c r="E3" s="17">
        <f>R81+R82</f>
        <v>4611</v>
      </c>
      <c r="F3" s="4">
        <f t="shared" ref="F3:Q4" si="1">E3*F$44/E$44</f>
        <v>4645.8597528245391</v>
      </c>
      <c r="G3" s="4">
        <f t="shared" si="1"/>
        <v>4679.9069066204484</v>
      </c>
      <c r="H3" s="4">
        <f t="shared" si="1"/>
        <v>4713.007270722449</v>
      </c>
      <c r="I3" s="4">
        <f t="shared" si="1"/>
        <v>4745.2055753523</v>
      </c>
      <c r="J3" s="4">
        <f t="shared" si="1"/>
        <v>4776.7329266557599</v>
      </c>
      <c r="K3" s="4">
        <f t="shared" si="1"/>
        <v>4807.6042347067469</v>
      </c>
      <c r="L3" s="4">
        <f t="shared" si="1"/>
        <v>4838.1549761684582</v>
      </c>
      <c r="M3" s="4">
        <f t="shared" si="1"/>
        <v>4868.4447913365721</v>
      </c>
      <c r="N3" s="4">
        <f t="shared" si="1"/>
        <v>4898.5855057654881</v>
      </c>
      <c r="O3" s="4">
        <f t="shared" si="1"/>
        <v>4928.6367597508852</v>
      </c>
      <c r="P3" s="4">
        <f t="shared" si="1"/>
        <v>4958.8520245494001</v>
      </c>
      <c r="Q3" s="4">
        <f t="shared" si="1"/>
        <v>4989.3729458632715</v>
      </c>
    </row>
    <row r="4" spans="1:21" s="200" customFormat="1" x14ac:dyDescent="0.35">
      <c r="A4" s="183" t="s">
        <v>274</v>
      </c>
      <c r="B4" s="202"/>
      <c r="C4" s="202"/>
      <c r="D4" s="202"/>
      <c r="E4" s="203"/>
      <c r="F4" s="202"/>
      <c r="G4" s="202">
        <f>127/2</f>
        <v>63.5</v>
      </c>
      <c r="H4" s="202">
        <f>G4+127/2</f>
        <v>127</v>
      </c>
      <c r="I4" s="202">
        <f t="shared" si="1"/>
        <v>127.86763810304164</v>
      </c>
      <c r="J4" s="202">
        <f t="shared" ref="J4:Q4" si="2">I4*J$44/I$44</f>
        <v>128.7171962270896</v>
      </c>
      <c r="K4" s="202">
        <f t="shared" si="2"/>
        <v>129.54907614945483</v>
      </c>
      <c r="L4" s="202">
        <f t="shared" si="2"/>
        <v>130.37231785963419</v>
      </c>
      <c r="M4" s="202">
        <f t="shared" si="2"/>
        <v>131.18852846687156</v>
      </c>
      <c r="N4" s="202">
        <f t="shared" si="2"/>
        <v>132.00072130099923</v>
      </c>
      <c r="O4" s="202">
        <f t="shared" si="2"/>
        <v>132.81050347126106</v>
      </c>
      <c r="P4" s="202">
        <f t="shared" si="2"/>
        <v>133.62470519194358</v>
      </c>
      <c r="Q4" s="202">
        <f t="shared" si="2"/>
        <v>134.447143347501</v>
      </c>
    </row>
    <row r="5" spans="1:21" s="194" customFormat="1" x14ac:dyDescent="0.35">
      <c r="A5" s="193" t="s">
        <v>481</v>
      </c>
      <c r="B5" s="4">
        <f t="shared" ref="B5:D5" si="3">B6+B7</f>
        <v>0</v>
      </c>
      <c r="C5" s="4">
        <f t="shared" si="3"/>
        <v>944.85999790331516</v>
      </c>
      <c r="D5" s="4">
        <f t="shared" si="3"/>
        <v>2136.2200000000003</v>
      </c>
      <c r="E5" s="17">
        <f>E6+E7</f>
        <v>2767</v>
      </c>
      <c r="F5" s="4">
        <f t="shared" ref="F5:Q5" si="4">F6+F7</f>
        <v>3343.1188757461505</v>
      </c>
      <c r="G5" s="4">
        <f t="shared" si="4"/>
        <v>3922.8189012691623</v>
      </c>
      <c r="H5" s="4">
        <f t="shared" si="4"/>
        <v>4505.7644817965293</v>
      </c>
      <c r="I5" s="4">
        <f t="shared" si="4"/>
        <v>5091.7469459519489</v>
      </c>
      <c r="J5" s="4">
        <f t="shared" si="4"/>
        <v>5125.5767331264333</v>
      </c>
      <c r="K5" s="4">
        <f t="shared" si="4"/>
        <v>5158.7025663469431</v>
      </c>
      <c r="L5" s="4">
        <f t="shared" si="4"/>
        <v>5191.4844220672167</v>
      </c>
      <c r="M5" s="4">
        <f t="shared" si="4"/>
        <v>5223.9862961012495</v>
      </c>
      <c r="N5" s="4">
        <f t="shared" si="4"/>
        <v>5256.3281806002906</v>
      </c>
      <c r="O5" s="4">
        <f t="shared" si="4"/>
        <v>5288.5740713783325</v>
      </c>
      <c r="P5" s="4">
        <f t="shared" si="4"/>
        <v>5320.9959506448695</v>
      </c>
      <c r="Q5" s="4">
        <f t="shared" si="4"/>
        <v>5353.745808458144</v>
      </c>
      <c r="U5" s="194">
        <f>I5-E5</f>
        <v>2324.7469459519489</v>
      </c>
    </row>
    <row r="6" spans="1:21" outlineLevel="1" x14ac:dyDescent="0.35">
      <c r="A6" s="4" t="s">
        <v>487</v>
      </c>
      <c r="B6" s="4">
        <v>0</v>
      </c>
      <c r="C6" s="4">
        <f>Q!F69</f>
        <v>336.05333218219192</v>
      </c>
      <c r="D6" s="4">
        <f>S56-S57+S62+S74-S75</f>
        <v>999.28</v>
      </c>
      <c r="E6" s="17">
        <f>R84+R85</f>
        <v>1412</v>
      </c>
      <c r="F6" s="219">
        <f>E6*F$44/E$44+$X$80*($T$84+$T$85)/4</f>
        <v>1703.2749015372478</v>
      </c>
      <c r="G6" s="219">
        <f>F6*G$44/F$44+$X$80*($T$84+$T$85)/4</f>
        <v>1996.357340873496</v>
      </c>
      <c r="H6" s="219">
        <f>G6*H$44/G$44+$X$80*($T$84+$T$85)/4</f>
        <v>2291.0773129539521</v>
      </c>
      <c r="I6" s="219">
        <f>H6*I$44/H$44+$X$80*($T$84+$T$85)/4</f>
        <v>2587.3294859754728</v>
      </c>
      <c r="J6" s="4">
        <f t="shared" ref="J6:Q6" si="5">I6*J$44/I$44</f>
        <v>2604.5198151080713</v>
      </c>
      <c r="K6" s="4">
        <f t="shared" si="5"/>
        <v>2621.3524358075488</v>
      </c>
      <c r="L6" s="4">
        <f t="shared" si="5"/>
        <v>2638.0102671590239</v>
      </c>
      <c r="M6" s="4">
        <f t="shared" si="5"/>
        <v>2654.5258281109623</v>
      </c>
      <c r="N6" s="4">
        <f t="shared" si="5"/>
        <v>2670.960091691737</v>
      </c>
      <c r="O6" s="4">
        <f t="shared" si="5"/>
        <v>2687.3455768498129</v>
      </c>
      <c r="P6" s="4">
        <f t="shared" si="5"/>
        <v>2703.8204891161695</v>
      </c>
      <c r="Q6" s="4">
        <f t="shared" si="5"/>
        <v>2720.4620609934118</v>
      </c>
    </row>
    <row r="7" spans="1:21" outlineLevel="1" x14ac:dyDescent="0.35">
      <c r="A7" s="4" t="s">
        <v>488</v>
      </c>
      <c r="B7" s="4">
        <v>0</v>
      </c>
      <c r="C7" s="4">
        <f>Q!F90</f>
        <v>608.8066657211233</v>
      </c>
      <c r="D7" s="4">
        <f>S58+S60+S66</f>
        <v>1136.94</v>
      </c>
      <c r="E7" s="17">
        <f>R87+R88+R89</f>
        <v>1355</v>
      </c>
      <c r="F7" s="219">
        <f>E7*F$44/E$44+$X$80*($T$87+$T$88+$T$89)/4</f>
        <v>1639.8439742089026</v>
      </c>
      <c r="G7" s="219">
        <f>F7*G$44/F$44+80%*($T$87+$T$88+$T$89)/4</f>
        <v>1926.4615603956663</v>
      </c>
      <c r="H7" s="219">
        <f>G7*H$44/G$44+80%*($T$87+$T$88+$T$89)/4</f>
        <v>2214.6871688425772</v>
      </c>
      <c r="I7" s="219">
        <f>H7*I$44/H$44+80%*($T$87+$T$88+$T$89)/4</f>
        <v>2504.4174599764765</v>
      </c>
      <c r="J7" s="4">
        <f t="shared" ref="J7:Q7" si="6">I7*J$44/I$44</f>
        <v>2521.056918018362</v>
      </c>
      <c r="K7" s="4">
        <f t="shared" si="6"/>
        <v>2537.3501305393947</v>
      </c>
      <c r="L7" s="4">
        <f t="shared" si="6"/>
        <v>2553.4741549081928</v>
      </c>
      <c r="M7" s="4">
        <f t="shared" si="6"/>
        <v>2569.4604679902877</v>
      </c>
      <c r="N7" s="4">
        <f t="shared" si="6"/>
        <v>2585.3680889085531</v>
      </c>
      <c r="O7" s="4">
        <f t="shared" si="6"/>
        <v>2601.2284945285201</v>
      </c>
      <c r="P7" s="4">
        <f t="shared" si="6"/>
        <v>2617.1754615287</v>
      </c>
      <c r="Q7" s="4">
        <f t="shared" si="6"/>
        <v>2633.2837474647322</v>
      </c>
    </row>
    <row r="8" spans="1:21" s="197" customFormat="1" x14ac:dyDescent="0.35">
      <c r="A8" s="184" t="s">
        <v>482</v>
      </c>
      <c r="B8" s="204">
        <f>$E8</f>
        <v>160</v>
      </c>
      <c r="C8" s="204">
        <f>$E8</f>
        <v>160</v>
      </c>
      <c r="D8" s="204">
        <f>$E8</f>
        <v>160</v>
      </c>
      <c r="E8" s="205">
        <f>R86</f>
        <v>160</v>
      </c>
      <c r="F8" s="204">
        <f t="shared" ref="F8:I17" si="7">E8*F$44/E$44</f>
        <v>161.20962057079294</v>
      </c>
      <c r="G8" s="204">
        <f t="shared" si="7"/>
        <v>162.39104425488432</v>
      </c>
      <c r="H8" s="204">
        <f t="shared" si="7"/>
        <v>163.53961468566291</v>
      </c>
      <c r="I8" s="204">
        <f t="shared" si="7"/>
        <v>164.65688398533246</v>
      </c>
      <c r="J8" s="204">
        <f t="shared" ref="J8:Q8" si="8">I8*J$44/I$44</f>
        <v>165.75087145194567</v>
      </c>
      <c r="K8" s="204">
        <f t="shared" si="8"/>
        <v>166.82209445957045</v>
      </c>
      <c r="L8" s="204">
        <f t="shared" si="8"/>
        <v>167.88219392473502</v>
      </c>
      <c r="M8" s="204">
        <f t="shared" si="8"/>
        <v>168.93323934371099</v>
      </c>
      <c r="N8" s="204">
        <f t="shared" si="8"/>
        <v>169.9791110220078</v>
      </c>
      <c r="O8" s="204">
        <f t="shared" si="8"/>
        <v>171.02187845589711</v>
      </c>
      <c r="P8" s="204">
        <f t="shared" si="8"/>
        <v>172.07033700453351</v>
      </c>
      <c r="Q8" s="204">
        <f t="shared" si="8"/>
        <v>173.12940172156223</v>
      </c>
    </row>
    <row r="9" spans="1:21" s="194" customFormat="1" x14ac:dyDescent="0.35">
      <c r="A9" s="193" t="s">
        <v>282</v>
      </c>
      <c r="B9" s="201">
        <f t="shared" ref="B9:D10" si="9">B$47/C$47*C9</f>
        <v>252.40253876299204</v>
      </c>
      <c r="C9" s="201">
        <f t="shared" si="9"/>
        <v>261.50604873061855</v>
      </c>
      <c r="D9" s="201">
        <f t="shared" si="9"/>
        <v>272.29715454080764</v>
      </c>
      <c r="E9" s="17">
        <f t="shared" ref="E9" si="10">R90</f>
        <v>279</v>
      </c>
      <c r="F9" s="4">
        <f t="shared" si="7"/>
        <v>281.10927587032018</v>
      </c>
      <c r="G9" s="4">
        <f t="shared" si="7"/>
        <v>283.1693834194545</v>
      </c>
      <c r="H9" s="4">
        <f t="shared" si="7"/>
        <v>285.17220310812468</v>
      </c>
      <c r="I9" s="4">
        <f t="shared" si="7"/>
        <v>287.12044144942342</v>
      </c>
      <c r="J9" s="4">
        <f t="shared" ref="J9:Q9" si="11">I9*J$44/I$44</f>
        <v>289.02808209433022</v>
      </c>
      <c r="K9" s="4">
        <f t="shared" si="11"/>
        <v>290.89602721387593</v>
      </c>
      <c r="L9" s="4">
        <f t="shared" si="11"/>
        <v>292.74457565625664</v>
      </c>
      <c r="M9" s="4">
        <f t="shared" si="11"/>
        <v>294.57733610559603</v>
      </c>
      <c r="N9" s="4">
        <f t="shared" si="11"/>
        <v>296.40107484462607</v>
      </c>
      <c r="O9" s="4">
        <f t="shared" si="11"/>
        <v>298.21940055747052</v>
      </c>
      <c r="P9" s="4">
        <f t="shared" si="11"/>
        <v>300.04765015165526</v>
      </c>
      <c r="Q9" s="4">
        <f t="shared" si="11"/>
        <v>301.89439425197406</v>
      </c>
    </row>
    <row r="10" spans="1:21" s="194" customFormat="1" x14ac:dyDescent="0.35">
      <c r="A10" s="193" t="s">
        <v>434</v>
      </c>
      <c r="B10" s="201">
        <f t="shared" si="9"/>
        <v>340.15539274152326</v>
      </c>
      <c r="C10" s="201">
        <f t="shared" si="9"/>
        <v>352.42392230362924</v>
      </c>
      <c r="D10" s="201">
        <f t="shared" si="9"/>
        <v>366.9667745782927</v>
      </c>
      <c r="E10" s="17">
        <f t="shared" ref="E10:E16" si="12">R92</f>
        <v>376</v>
      </c>
      <c r="F10" s="4">
        <f t="shared" si="7"/>
        <v>378.84260834136342</v>
      </c>
      <c r="G10" s="4">
        <f t="shared" si="7"/>
        <v>381.61895399897821</v>
      </c>
      <c r="H10" s="4">
        <f t="shared" si="7"/>
        <v>384.31809451130789</v>
      </c>
      <c r="I10" s="4">
        <f t="shared" si="7"/>
        <v>386.9436773655313</v>
      </c>
      <c r="J10" s="4">
        <f t="shared" ref="J10:Q10" si="13">I10*J$44/I$44</f>
        <v>389.51454791207237</v>
      </c>
      <c r="K10" s="4">
        <f t="shared" si="13"/>
        <v>392.03192197999061</v>
      </c>
      <c r="L10" s="4">
        <f t="shared" si="13"/>
        <v>394.52315572312733</v>
      </c>
      <c r="M10" s="4">
        <f t="shared" si="13"/>
        <v>396.99311245772088</v>
      </c>
      <c r="N10" s="4">
        <f t="shared" si="13"/>
        <v>399.45091090171837</v>
      </c>
      <c r="O10" s="4">
        <f t="shared" si="13"/>
        <v>401.90141437135821</v>
      </c>
      <c r="P10" s="4">
        <f t="shared" si="13"/>
        <v>404.36529196065374</v>
      </c>
      <c r="Q10" s="4">
        <f t="shared" si="13"/>
        <v>406.85409404567127</v>
      </c>
    </row>
    <row r="11" spans="1:21" s="194" customFormat="1" x14ac:dyDescent="0.35">
      <c r="A11" s="193" t="s">
        <v>433</v>
      </c>
      <c r="B11" s="237">
        <f>$E11</f>
        <v>81</v>
      </c>
      <c r="C11" s="237">
        <f>$E11</f>
        <v>81</v>
      </c>
      <c r="D11" s="237">
        <f>$E11</f>
        <v>81</v>
      </c>
      <c r="E11" s="17">
        <f t="shared" si="12"/>
        <v>81</v>
      </c>
      <c r="F11" s="4">
        <f t="shared" si="7"/>
        <v>81.61237041396393</v>
      </c>
      <c r="G11" s="4">
        <f t="shared" si="7"/>
        <v>82.210466154035203</v>
      </c>
      <c r="H11" s="4">
        <f t="shared" si="7"/>
        <v>82.79192993461686</v>
      </c>
      <c r="I11" s="4">
        <f t="shared" si="7"/>
        <v>83.357547517574559</v>
      </c>
      <c r="J11" s="4">
        <f t="shared" ref="J11:Q11" si="14">I11*J$44/I$44</f>
        <v>83.911378672547499</v>
      </c>
      <c r="K11" s="4">
        <f t="shared" si="14"/>
        <v>84.453685320157561</v>
      </c>
      <c r="L11" s="4">
        <f t="shared" si="14"/>
        <v>84.990360674397124</v>
      </c>
      <c r="M11" s="4">
        <f t="shared" si="14"/>
        <v>85.522452417753712</v>
      </c>
      <c r="N11" s="4">
        <f t="shared" si="14"/>
        <v>86.051924954891476</v>
      </c>
      <c r="O11" s="4">
        <f t="shared" si="14"/>
        <v>86.579825968297925</v>
      </c>
      <c r="P11" s="4">
        <f t="shared" si="14"/>
        <v>87.110608108545108</v>
      </c>
      <c r="Q11" s="4">
        <f t="shared" si="14"/>
        <v>87.646759621540895</v>
      </c>
    </row>
    <row r="12" spans="1:21" s="200" customFormat="1" x14ac:dyDescent="0.35">
      <c r="A12" s="183" t="s">
        <v>483</v>
      </c>
      <c r="B12" s="202"/>
      <c r="C12" s="202"/>
      <c r="D12" s="202"/>
      <c r="E12" s="203">
        <f t="shared" si="12"/>
        <v>0</v>
      </c>
      <c r="F12" s="202">
        <f t="shared" si="7"/>
        <v>0</v>
      </c>
      <c r="G12" s="202">
        <f t="shared" si="7"/>
        <v>0</v>
      </c>
      <c r="H12" s="202">
        <f t="shared" si="7"/>
        <v>0</v>
      </c>
      <c r="I12" s="202">
        <f t="shared" si="7"/>
        <v>0</v>
      </c>
      <c r="J12" s="202">
        <f t="shared" ref="J12:Q12" si="15">I12*J$44/I$44</f>
        <v>0</v>
      </c>
      <c r="K12" s="202">
        <f t="shared" si="15"/>
        <v>0</v>
      </c>
      <c r="L12" s="202">
        <f t="shared" si="15"/>
        <v>0</v>
      </c>
      <c r="M12" s="202">
        <f t="shared" si="15"/>
        <v>0</v>
      </c>
      <c r="N12" s="202">
        <f t="shared" si="15"/>
        <v>0</v>
      </c>
      <c r="O12" s="202">
        <f t="shared" si="15"/>
        <v>0</v>
      </c>
      <c r="P12" s="202">
        <f t="shared" si="15"/>
        <v>0</v>
      </c>
      <c r="Q12" s="202">
        <f t="shared" si="15"/>
        <v>0</v>
      </c>
    </row>
    <row r="13" spans="1:21" s="197" customFormat="1" x14ac:dyDescent="0.35">
      <c r="A13" s="184" t="s">
        <v>484</v>
      </c>
      <c r="B13" s="204">
        <f t="shared" ref="B13:D13" si="16">$E13</f>
        <v>70</v>
      </c>
      <c r="C13" s="204">
        <f t="shared" si="16"/>
        <v>70</v>
      </c>
      <c r="D13" s="204">
        <f t="shared" si="16"/>
        <v>70</v>
      </c>
      <c r="E13" s="205">
        <f t="shared" si="12"/>
        <v>70</v>
      </c>
      <c r="F13" s="204">
        <f t="shared" si="7"/>
        <v>70.529208999721916</v>
      </c>
      <c r="G13" s="204">
        <f t="shared" si="7"/>
        <v>71.046081861511908</v>
      </c>
      <c r="H13" s="204">
        <f t="shared" si="7"/>
        <v>71.548581424977542</v>
      </c>
      <c r="I13" s="204">
        <f t="shared" si="7"/>
        <v>72.037386743582957</v>
      </c>
      <c r="J13" s="204">
        <f t="shared" ref="J13:Q13" si="17">I13*J$44/I$44</f>
        <v>72.516006260226234</v>
      </c>
      <c r="K13" s="204">
        <f t="shared" si="17"/>
        <v>72.984666326062083</v>
      </c>
      <c r="L13" s="204">
        <f t="shared" si="17"/>
        <v>73.448459842071571</v>
      </c>
      <c r="M13" s="204">
        <f t="shared" si="17"/>
        <v>73.908292212873562</v>
      </c>
      <c r="N13" s="204">
        <f t="shared" si="17"/>
        <v>74.365861072128411</v>
      </c>
      <c r="O13" s="204">
        <f t="shared" si="17"/>
        <v>74.82207182445498</v>
      </c>
      <c r="P13" s="204">
        <f t="shared" si="17"/>
        <v>75.2807724394834</v>
      </c>
      <c r="Q13" s="204">
        <f t="shared" si="17"/>
        <v>75.744113253183471</v>
      </c>
    </row>
    <row r="14" spans="1:21" s="194" customFormat="1" x14ac:dyDescent="0.35">
      <c r="A14" s="193" t="s">
        <v>289</v>
      </c>
      <c r="B14" s="201">
        <f t="shared" ref="B14:D15" si="18">B$47/C$47*C14</f>
        <v>97.704208553416265</v>
      </c>
      <c r="C14" s="201">
        <f t="shared" si="18"/>
        <v>101.2281478957233</v>
      </c>
      <c r="D14" s="201">
        <f t="shared" si="18"/>
        <v>105.40535014482876</v>
      </c>
      <c r="E14" s="17">
        <f t="shared" si="12"/>
        <v>108</v>
      </c>
      <c r="F14" s="4">
        <f t="shared" si="7"/>
        <v>108.81649388528524</v>
      </c>
      <c r="G14" s="4">
        <f t="shared" si="7"/>
        <v>109.61395487204695</v>
      </c>
      <c r="H14" s="4">
        <f t="shared" si="7"/>
        <v>110.38923991282249</v>
      </c>
      <c r="I14" s="4">
        <f t="shared" si="7"/>
        <v>111.14339669009942</v>
      </c>
      <c r="J14" s="4">
        <f t="shared" ref="J14:Q14" si="19">I14*J$44/I$44</f>
        <v>111.88183823006332</v>
      </c>
      <c r="K14" s="4">
        <f t="shared" si="19"/>
        <v>112.60491376021005</v>
      </c>
      <c r="L14" s="4">
        <f t="shared" si="19"/>
        <v>113.32048089919613</v>
      </c>
      <c r="M14" s="4">
        <f t="shared" si="19"/>
        <v>114.02993655700492</v>
      </c>
      <c r="N14" s="4">
        <f t="shared" si="19"/>
        <v>114.73589993985526</v>
      </c>
      <c r="O14" s="4">
        <f t="shared" si="19"/>
        <v>115.43976795773052</v>
      </c>
      <c r="P14" s="4">
        <f t="shared" si="19"/>
        <v>116.1474774780601</v>
      </c>
      <c r="Q14" s="4">
        <f t="shared" si="19"/>
        <v>116.86234616205448</v>
      </c>
    </row>
    <row r="15" spans="1:21" s="194" customFormat="1" x14ac:dyDescent="0.35">
      <c r="A15" s="193" t="s">
        <v>437</v>
      </c>
      <c r="B15" s="201">
        <f t="shared" si="18"/>
        <v>183.79237446407691</v>
      </c>
      <c r="C15" s="201">
        <f t="shared" si="18"/>
        <v>190.42129238664415</v>
      </c>
      <c r="D15" s="201">
        <f>U69/L69*E15</f>
        <v>198.27906976744185</v>
      </c>
      <c r="E15" s="17">
        <f t="shared" si="12"/>
        <v>203</v>
      </c>
      <c r="F15" s="4">
        <f t="shared" si="7"/>
        <v>204.53470609919356</v>
      </c>
      <c r="G15" s="4">
        <f t="shared" si="7"/>
        <v>206.03363739838451</v>
      </c>
      <c r="H15" s="4">
        <f t="shared" si="7"/>
        <v>207.49088613243484</v>
      </c>
      <c r="I15" s="4">
        <f t="shared" si="7"/>
        <v>208.90842155639055</v>
      </c>
      <c r="J15" s="4">
        <f t="shared" ref="J15:Q15" si="20">I15*J$44/I$44</f>
        <v>210.29641815465607</v>
      </c>
      <c r="K15" s="4">
        <f t="shared" si="20"/>
        <v>211.65553234558004</v>
      </c>
      <c r="L15" s="4">
        <f t="shared" si="20"/>
        <v>213.00053354200756</v>
      </c>
      <c r="M15" s="4">
        <f t="shared" si="20"/>
        <v>214.33404741733332</v>
      </c>
      <c r="N15" s="4">
        <f t="shared" si="20"/>
        <v>215.66099710917237</v>
      </c>
      <c r="O15" s="4">
        <f t="shared" si="20"/>
        <v>216.98400829091941</v>
      </c>
      <c r="P15" s="4">
        <f t="shared" si="20"/>
        <v>218.31424007450184</v>
      </c>
      <c r="Q15" s="4">
        <f t="shared" si="20"/>
        <v>219.65792843423202</v>
      </c>
    </row>
    <row r="16" spans="1:21" s="194" customFormat="1" x14ac:dyDescent="0.35">
      <c r="A16" s="193" t="s">
        <v>435</v>
      </c>
      <c r="B16" s="237">
        <f>$E16</f>
        <v>83</v>
      </c>
      <c r="C16" s="237">
        <f>$E16</f>
        <v>83</v>
      </c>
      <c r="D16" s="237">
        <f>$E16</f>
        <v>83</v>
      </c>
      <c r="E16" s="17">
        <f t="shared" si="12"/>
        <v>83</v>
      </c>
      <c r="F16" s="4">
        <f t="shared" si="7"/>
        <v>83.62749067109884</v>
      </c>
      <c r="G16" s="4">
        <f t="shared" si="7"/>
        <v>84.240354207221245</v>
      </c>
      <c r="H16" s="4">
        <f t="shared" si="7"/>
        <v>84.836175118187626</v>
      </c>
      <c r="I16" s="4">
        <f t="shared" si="7"/>
        <v>85.415758567391194</v>
      </c>
      <c r="J16" s="4">
        <f t="shared" ref="J16:Q16" si="21">I16*J$44/I$44</f>
        <v>85.983264565696786</v>
      </c>
      <c r="K16" s="4">
        <f t="shared" si="21"/>
        <v>86.538961500902161</v>
      </c>
      <c r="L16" s="4">
        <f t="shared" si="21"/>
        <v>87.088888098456266</v>
      </c>
      <c r="M16" s="4">
        <f t="shared" si="21"/>
        <v>87.634117909550056</v>
      </c>
      <c r="N16" s="4">
        <f t="shared" si="21"/>
        <v>88.176663842666528</v>
      </c>
      <c r="O16" s="4">
        <f t="shared" si="21"/>
        <v>88.717599448996594</v>
      </c>
      <c r="P16" s="4">
        <f t="shared" si="21"/>
        <v>89.261487321101725</v>
      </c>
      <c r="Q16" s="4">
        <f t="shared" si="21"/>
        <v>89.810877143060381</v>
      </c>
    </row>
    <row r="17" spans="1:22" s="197" customFormat="1" x14ac:dyDescent="0.35">
      <c r="A17" s="184" t="s">
        <v>486</v>
      </c>
      <c r="B17" s="195"/>
      <c r="C17" s="195"/>
      <c r="D17" s="195"/>
      <c r="E17" s="196">
        <f t="shared" ref="E17" si="22">R99</f>
        <v>0</v>
      </c>
      <c r="F17" s="195">
        <f t="shared" si="7"/>
        <v>0</v>
      </c>
      <c r="G17" s="195">
        <f t="shared" si="7"/>
        <v>0</v>
      </c>
      <c r="H17" s="195">
        <f t="shared" si="7"/>
        <v>0</v>
      </c>
      <c r="I17" s="195">
        <f t="shared" si="7"/>
        <v>0</v>
      </c>
      <c r="J17" s="195">
        <f t="shared" ref="J17:Q17" si="23">I17*J$44/I$44</f>
        <v>0</v>
      </c>
      <c r="K17" s="195">
        <f t="shared" si="23"/>
        <v>0</v>
      </c>
      <c r="L17" s="195">
        <f t="shared" si="23"/>
        <v>0</v>
      </c>
      <c r="M17" s="195">
        <f t="shared" si="23"/>
        <v>0</v>
      </c>
      <c r="N17" s="195">
        <f t="shared" si="23"/>
        <v>0</v>
      </c>
      <c r="O17" s="195">
        <f t="shared" si="23"/>
        <v>0</v>
      </c>
      <c r="P17" s="195">
        <f t="shared" si="23"/>
        <v>0</v>
      </c>
      <c r="Q17" s="195">
        <f t="shared" si="23"/>
        <v>0</v>
      </c>
    </row>
    <row r="18" spans="1:22" x14ac:dyDescent="0.35">
      <c r="A18" s="699"/>
      <c r="B18" s="699"/>
      <c r="C18" s="699"/>
      <c r="D18" s="699"/>
      <c r="E18" s="700"/>
      <c r="F18" s="699"/>
      <c r="G18" s="699"/>
      <c r="H18" s="699"/>
      <c r="I18" s="699"/>
      <c r="J18" s="699"/>
      <c r="K18" s="699"/>
      <c r="L18" s="699"/>
      <c r="M18" s="699"/>
      <c r="N18" s="699"/>
      <c r="O18" s="699"/>
      <c r="P18" s="699"/>
      <c r="Q18" s="699"/>
    </row>
    <row r="19" spans="1:22" x14ac:dyDescent="0.35">
      <c r="A19" s="10" t="s">
        <v>485</v>
      </c>
      <c r="B19" s="10">
        <f t="shared" ref="B19:D19" si="24">B3+B4+B5+B9+B10+B11+B12+B14+B15+B16</f>
        <v>5209.4814185942514</v>
      </c>
      <c r="C19" s="10">
        <f t="shared" si="24"/>
        <v>6336.3189457678936</v>
      </c>
      <c r="D19" s="10">
        <f t="shared" si="24"/>
        <v>7743.3912149369762</v>
      </c>
      <c r="E19" s="18">
        <f>E3+E4+E5+E9+E10+E11+E12+E14+E15+E16</f>
        <v>8508</v>
      </c>
      <c r="F19" s="10">
        <f t="shared" ref="F19:Q19" si="25">F3+F4+F5+F9+F10+F11+F12+F14+F15+F16</f>
        <v>9127.5215738519164</v>
      </c>
      <c r="G19" s="10">
        <f t="shared" si="25"/>
        <v>9813.1125579397321</v>
      </c>
      <c r="H19" s="10">
        <f t="shared" si="25"/>
        <v>10500.770281236471</v>
      </c>
      <c r="I19" s="10">
        <f t="shared" si="25"/>
        <v>11127.709402553701</v>
      </c>
      <c r="J19" s="10">
        <f t="shared" si="25"/>
        <v>11201.64238563865</v>
      </c>
      <c r="K19" s="10">
        <f t="shared" si="25"/>
        <v>11274.03691932386</v>
      </c>
      <c r="L19" s="10">
        <f t="shared" si="25"/>
        <v>11345.679710688752</v>
      </c>
      <c r="M19" s="10">
        <f t="shared" si="25"/>
        <v>11416.710618769652</v>
      </c>
      <c r="N19" s="10">
        <f t="shared" si="25"/>
        <v>11487.391879259707</v>
      </c>
      <c r="O19" s="10">
        <f t="shared" si="25"/>
        <v>11557.863351195252</v>
      </c>
      <c r="P19" s="10">
        <f t="shared" si="25"/>
        <v>11628.719435480732</v>
      </c>
      <c r="Q19" s="10">
        <f t="shared" si="25"/>
        <v>11700.292297327447</v>
      </c>
      <c r="V19" s="538"/>
    </row>
    <row r="20" spans="1:22" s="192" customFormat="1" x14ac:dyDescent="0.35">
      <c r="A20" s="190" t="s">
        <v>492</v>
      </c>
      <c r="B20" s="190">
        <f>B19+B8+B13</f>
        <v>5439.4814185942514</v>
      </c>
      <c r="C20" s="190">
        <f t="shared" ref="C20:Q20" si="26">C19+C8+C13</f>
        <v>6566.3189457678936</v>
      </c>
      <c r="D20" s="190">
        <f t="shared" si="26"/>
        <v>7973.3912149369762</v>
      </c>
      <c r="E20" s="191">
        <f t="shared" si="26"/>
        <v>8738</v>
      </c>
      <c r="F20" s="190">
        <f t="shared" si="26"/>
        <v>9359.2604034224314</v>
      </c>
      <c r="G20" s="190">
        <f t="shared" si="26"/>
        <v>10046.549684056128</v>
      </c>
      <c r="H20" s="190">
        <f t="shared" si="26"/>
        <v>10735.858477347112</v>
      </c>
      <c r="I20" s="190">
        <f t="shared" si="26"/>
        <v>11364.403673282615</v>
      </c>
      <c r="J20" s="190">
        <f t="shared" si="26"/>
        <v>11439.909263350823</v>
      </c>
      <c r="K20" s="190">
        <f t="shared" si="26"/>
        <v>11513.843680109492</v>
      </c>
      <c r="L20" s="190">
        <f t="shared" si="26"/>
        <v>11587.010364455558</v>
      </c>
      <c r="M20" s="190">
        <f t="shared" si="26"/>
        <v>11659.552150326235</v>
      </c>
      <c r="N20" s="190">
        <f t="shared" si="26"/>
        <v>11731.736851353844</v>
      </c>
      <c r="O20" s="190">
        <f t="shared" si="26"/>
        <v>11803.707301475604</v>
      </c>
      <c r="P20" s="190">
        <f t="shared" si="26"/>
        <v>11876.070544924751</v>
      </c>
      <c r="Q20" s="190">
        <f t="shared" si="26"/>
        <v>11949.165812302193</v>
      </c>
    </row>
    <row r="21" spans="1:22" x14ac:dyDescent="0.35">
      <c r="A21" s="39">
        <v>1</v>
      </c>
      <c r="B21" s="39">
        <v>2</v>
      </c>
      <c r="C21" s="39">
        <v>3</v>
      </c>
      <c r="D21" s="39">
        <v>4</v>
      </c>
      <c r="E21" s="39">
        <v>5</v>
      </c>
      <c r="F21" s="39">
        <v>6</v>
      </c>
      <c r="G21" s="39">
        <v>7</v>
      </c>
      <c r="H21" s="39">
        <v>8</v>
      </c>
      <c r="I21" s="39">
        <v>9</v>
      </c>
      <c r="J21" s="39">
        <v>10</v>
      </c>
      <c r="K21" s="39">
        <v>11</v>
      </c>
      <c r="L21" s="39">
        <v>12</v>
      </c>
      <c r="M21" s="39">
        <v>13</v>
      </c>
      <c r="N21" s="39">
        <v>14</v>
      </c>
      <c r="O21" s="39">
        <v>15</v>
      </c>
      <c r="P21" s="39">
        <v>16</v>
      </c>
      <c r="Q21" s="39">
        <v>17</v>
      </c>
    </row>
    <row r="22" spans="1:22" s="13" customFormat="1" x14ac:dyDescent="0.35">
      <c r="A22" s="13" t="s">
        <v>43</v>
      </c>
      <c r="B22" s="13" t="s">
        <v>42</v>
      </c>
      <c r="F22" s="13" t="s">
        <v>219</v>
      </c>
      <c r="J22" s="13" t="s">
        <v>220</v>
      </c>
    </row>
    <row r="23" spans="1:22" x14ac:dyDescent="0.35">
      <c r="A23" s="10" t="s">
        <v>6</v>
      </c>
      <c r="B23" s="10">
        <v>2020</v>
      </c>
      <c r="C23" s="10">
        <v>2021</v>
      </c>
      <c r="D23" s="11">
        <v>2022</v>
      </c>
      <c r="E23" s="18">
        <v>2023</v>
      </c>
      <c r="F23" s="14">
        <v>2024</v>
      </c>
      <c r="G23" s="14">
        <v>2025</v>
      </c>
      <c r="H23" s="14">
        <v>2026</v>
      </c>
      <c r="I23" s="14">
        <v>2027</v>
      </c>
      <c r="J23" s="19">
        <v>2028</v>
      </c>
      <c r="K23" s="19">
        <v>2029</v>
      </c>
      <c r="L23" s="19">
        <v>2030</v>
      </c>
      <c r="M23" s="19">
        <v>2031</v>
      </c>
      <c r="N23" s="19">
        <v>2032</v>
      </c>
      <c r="O23" s="19">
        <v>2033</v>
      </c>
      <c r="P23" s="19">
        <v>2034</v>
      </c>
      <c r="Q23" s="19">
        <v>2035</v>
      </c>
    </row>
    <row r="24" spans="1:22" s="16" customFormat="1" x14ac:dyDescent="0.35">
      <c r="A24" s="12" t="s">
        <v>432</v>
      </c>
      <c r="B24" s="201">
        <f t="shared" ref="B24:D24" si="27">B$47/C$47*C24</f>
        <v>4085.4833872891463</v>
      </c>
      <c r="C24" s="201">
        <f t="shared" si="27"/>
        <v>4232.8362583063554</v>
      </c>
      <c r="D24" s="201">
        <f t="shared" si="27"/>
        <v>4407.5051967967283</v>
      </c>
      <c r="E24" s="22">
        <f>S81+S82</f>
        <v>4516</v>
      </c>
      <c r="F24" s="4">
        <f t="shared" ref="F24:Q24" si="28">E24*F$44/E$44</f>
        <v>4550.1415406106307</v>
      </c>
      <c r="G24" s="4">
        <f t="shared" si="28"/>
        <v>4583.4872240941104</v>
      </c>
      <c r="H24" s="4">
        <f t="shared" si="28"/>
        <v>4615.905624502836</v>
      </c>
      <c r="I24" s="4">
        <f t="shared" si="28"/>
        <v>4647.4405504860079</v>
      </c>
      <c r="J24" s="4">
        <f t="shared" si="28"/>
        <v>4678.3183467311655</v>
      </c>
      <c r="K24" s="4">
        <f t="shared" si="28"/>
        <v>4708.5536161213749</v>
      </c>
      <c r="L24" s="4">
        <f t="shared" si="28"/>
        <v>4738.474923525644</v>
      </c>
      <c r="M24" s="4">
        <f t="shared" si="28"/>
        <v>4768.140680476241</v>
      </c>
      <c r="N24" s="4">
        <f t="shared" si="28"/>
        <v>4797.6604085961681</v>
      </c>
      <c r="O24" s="4">
        <f t="shared" si="28"/>
        <v>4827.0925194176934</v>
      </c>
      <c r="P24" s="4">
        <f t="shared" si="28"/>
        <v>4856.6852619529564</v>
      </c>
      <c r="Q24" s="4">
        <f t="shared" si="28"/>
        <v>4886.5773635910919</v>
      </c>
    </row>
    <row r="25" spans="1:22" s="200" customFormat="1" x14ac:dyDescent="0.35">
      <c r="A25" s="183" t="s">
        <v>274</v>
      </c>
      <c r="B25" s="202"/>
      <c r="C25" s="202"/>
      <c r="D25" s="202"/>
      <c r="E25" s="199"/>
      <c r="F25" s="198"/>
      <c r="G25" s="198">
        <f>G4</f>
        <v>63.5</v>
      </c>
      <c r="H25" s="198">
        <f>H4</f>
        <v>127</v>
      </c>
      <c r="I25" s="198">
        <f>I4</f>
        <v>127.86763810304164</v>
      </c>
      <c r="J25" s="198">
        <f t="shared" ref="J25:Q25" si="29">I25*J$44/I$44</f>
        <v>128.7171962270896</v>
      </c>
      <c r="K25" s="198">
        <f t="shared" si="29"/>
        <v>129.54907614945483</v>
      </c>
      <c r="L25" s="198">
        <f t="shared" si="29"/>
        <v>130.37231785963419</v>
      </c>
      <c r="M25" s="198">
        <f t="shared" si="29"/>
        <v>131.18852846687156</v>
      </c>
      <c r="N25" s="198">
        <f t="shared" si="29"/>
        <v>132.00072130099923</v>
      </c>
      <c r="O25" s="198">
        <f t="shared" si="29"/>
        <v>132.81050347126106</v>
      </c>
      <c r="P25" s="198">
        <f t="shared" si="29"/>
        <v>133.62470519194358</v>
      </c>
      <c r="Q25" s="198">
        <f t="shared" si="29"/>
        <v>134.447143347501</v>
      </c>
    </row>
    <row r="26" spans="1:22" x14ac:dyDescent="0.35">
      <c r="A26" s="12" t="s">
        <v>481</v>
      </c>
      <c r="B26" s="4">
        <f t="shared" ref="B26:D26" si="30">B27+B28</f>
        <v>0</v>
      </c>
      <c r="C26" s="4">
        <f t="shared" si="30"/>
        <v>697.51117859990586</v>
      </c>
      <c r="D26" s="4">
        <f t="shared" si="30"/>
        <v>1863.04</v>
      </c>
      <c r="E26" s="17">
        <f>E27+E28</f>
        <v>2676</v>
      </c>
      <c r="F26" s="4">
        <f t="shared" ref="F26:Q26" si="31">F27+F28</f>
        <v>3268.8309040465119</v>
      </c>
      <c r="G26" s="4">
        <f t="shared" si="31"/>
        <v>3865.3865106390758</v>
      </c>
      <c r="H26" s="4">
        <f t="shared" si="31"/>
        <v>4465.3258794449193</v>
      </c>
      <c r="I26" s="4">
        <f t="shared" si="31"/>
        <v>5068.4320753150323</v>
      </c>
      <c r="J26" s="4">
        <f t="shared" si="31"/>
        <v>5102.1069574795038</v>
      </c>
      <c r="K26" s="4">
        <f t="shared" si="31"/>
        <v>5135.0811090621646</v>
      </c>
      <c r="L26" s="4">
        <f t="shared" si="31"/>
        <v>5167.7128582014411</v>
      </c>
      <c r="M26" s="4">
        <f t="shared" si="31"/>
        <v>5200.0659076774982</v>
      </c>
      <c r="N26" s="4">
        <f t="shared" si="31"/>
        <v>5232.2597002031434</v>
      </c>
      <c r="O26" s="4">
        <f t="shared" si="31"/>
        <v>5264.3579385585426</v>
      </c>
      <c r="P26" s="4">
        <f t="shared" si="31"/>
        <v>5296.6313595593929</v>
      </c>
      <c r="Q26" s="4">
        <f t="shared" si="31"/>
        <v>5329.2312573085874</v>
      </c>
      <c r="U26" s="194">
        <f>I26-E26</f>
        <v>2392.4320753150323</v>
      </c>
    </row>
    <row r="27" spans="1:22" outlineLevel="1" x14ac:dyDescent="0.35">
      <c r="A27" s="4" t="s">
        <v>487</v>
      </c>
      <c r="B27" s="4">
        <v>0</v>
      </c>
      <c r="C27" s="4">
        <f>Q!F79</f>
        <v>331.43181024452883</v>
      </c>
      <c r="D27" s="4">
        <f>T56-T57+T62+T74-T75</f>
        <v>999.28</v>
      </c>
      <c r="E27" s="17">
        <f>S84+S85</f>
        <v>1435</v>
      </c>
      <c r="F27" s="219">
        <f>E27*F$44/E$44+$X$80*($U$84+$U$85)/4</f>
        <v>1746.4487844942992</v>
      </c>
      <c r="G27" s="219">
        <f>F27*G$44/F$44+$X$80*($U$84+$U$85)/4</f>
        <v>2059.8476233585598</v>
      </c>
      <c r="H27" s="219">
        <f>G27*H$44/G$44+$X$80*($U$84+$U$85)/4</f>
        <v>2375.0166538303743</v>
      </c>
      <c r="I27" s="219">
        <f>H27*I$44/H$44+$X$80*($U$84+$U$85)/4</f>
        <v>2691.8422833124346</v>
      </c>
      <c r="J27" s="4">
        <f t="shared" ref="J27:Q27" si="32">I27*J$44/I$44</f>
        <v>2709.7269999957994</v>
      </c>
      <c r="K27" s="4">
        <f t="shared" si="32"/>
        <v>2727.239558942551</v>
      </c>
      <c r="L27" s="4">
        <f t="shared" si="32"/>
        <v>2744.570268086185</v>
      </c>
      <c r="M27" s="4">
        <f t="shared" si="32"/>
        <v>2761.7529599482114</v>
      </c>
      <c r="N27" s="4">
        <f t="shared" si="32"/>
        <v>2778.8510705064623</v>
      </c>
      <c r="O27" s="4">
        <f t="shared" si="32"/>
        <v>2795.8984322824476</v>
      </c>
      <c r="P27" s="4">
        <f t="shared" si="32"/>
        <v>2813.038833492586</v>
      </c>
      <c r="Q27" s="4">
        <f t="shared" si="32"/>
        <v>2830.3526263754648</v>
      </c>
    </row>
    <row r="28" spans="1:22" outlineLevel="1" x14ac:dyDescent="0.35">
      <c r="A28" s="4" t="s">
        <v>488</v>
      </c>
      <c r="B28" s="4">
        <v>0</v>
      </c>
      <c r="C28" s="4">
        <f>Q!F100</f>
        <v>366.07936835537703</v>
      </c>
      <c r="D28" s="4">
        <f>T58+T66</f>
        <v>863.76</v>
      </c>
      <c r="E28" s="17">
        <f>S87+S88+S89</f>
        <v>1241</v>
      </c>
      <c r="F28" s="219">
        <f>E28*F$44/E$44+$X$80*($U$87+$U$88+$U$89)/4</f>
        <v>1522.3821195522128</v>
      </c>
      <c r="G28" s="219">
        <f>F28*G$44/F$44+$X$80*($U$87+$U$88+$U$89)/4</f>
        <v>1805.5388872805161</v>
      </c>
      <c r="H28" s="219">
        <f>G28*H$44/G$44+$X$80*($U$87+$U$88+$U$89)/4</f>
        <v>2090.3092256145455</v>
      </c>
      <c r="I28" s="219">
        <f>H28*I$44/H$44+$X$80*($U$87+$U$88+$U$89)/4</f>
        <v>2376.5897920025977</v>
      </c>
      <c r="J28" s="4">
        <f t="shared" ref="J28:Q28" si="33">I28*J$44/I$44</f>
        <v>2392.3799574837039</v>
      </c>
      <c r="K28" s="4">
        <f t="shared" si="33"/>
        <v>2407.8415501196132</v>
      </c>
      <c r="L28" s="4">
        <f t="shared" si="33"/>
        <v>2423.1425901152561</v>
      </c>
      <c r="M28" s="4">
        <f t="shared" si="33"/>
        <v>2438.3129477292869</v>
      </c>
      <c r="N28" s="4">
        <f t="shared" si="33"/>
        <v>2453.4086296966816</v>
      </c>
      <c r="O28" s="4">
        <f t="shared" si="33"/>
        <v>2468.459506276095</v>
      </c>
      <c r="P28" s="4">
        <f t="shared" si="33"/>
        <v>2483.5925260668073</v>
      </c>
      <c r="Q28" s="4">
        <f t="shared" si="33"/>
        <v>2498.8786309331231</v>
      </c>
    </row>
    <row r="29" spans="1:22" s="197" customFormat="1" x14ac:dyDescent="0.35">
      <c r="A29" s="184" t="s">
        <v>482</v>
      </c>
      <c r="B29" s="204">
        <f>$E29</f>
        <v>0</v>
      </c>
      <c r="C29" s="204">
        <f>$E29</f>
        <v>0</v>
      </c>
      <c r="D29" s="204">
        <f>$E29</f>
        <v>0</v>
      </c>
      <c r="E29" s="196"/>
      <c r="F29" s="195">
        <f t="shared" ref="F29:I38" si="34">E29*F$44/E$44</f>
        <v>0</v>
      </c>
      <c r="G29" s="195">
        <f t="shared" si="34"/>
        <v>0</v>
      </c>
      <c r="H29" s="195">
        <f t="shared" si="34"/>
        <v>0</v>
      </c>
      <c r="I29" s="195">
        <f t="shared" si="34"/>
        <v>0</v>
      </c>
      <c r="J29" s="195">
        <f t="shared" ref="J29:Q29" si="35">I29*J$44/I$44</f>
        <v>0</v>
      </c>
      <c r="K29" s="195">
        <f t="shared" si="35"/>
        <v>0</v>
      </c>
      <c r="L29" s="195">
        <f t="shared" si="35"/>
        <v>0</v>
      </c>
      <c r="M29" s="195">
        <f t="shared" si="35"/>
        <v>0</v>
      </c>
      <c r="N29" s="195">
        <f t="shared" si="35"/>
        <v>0</v>
      </c>
      <c r="O29" s="195">
        <f t="shared" si="35"/>
        <v>0</v>
      </c>
      <c r="P29" s="195">
        <f t="shared" si="35"/>
        <v>0</v>
      </c>
      <c r="Q29" s="195">
        <f t="shared" si="35"/>
        <v>0</v>
      </c>
    </row>
    <row r="30" spans="1:22" x14ac:dyDescent="0.35">
      <c r="A30" s="12" t="s">
        <v>282</v>
      </c>
      <c r="B30" s="201">
        <f t="shared" ref="B30:D30" si="36">B$47/C$47*C30</f>
        <v>252.40253876299204</v>
      </c>
      <c r="C30" s="201">
        <f t="shared" si="36"/>
        <v>261.50604873061855</v>
      </c>
      <c r="D30" s="201">
        <f t="shared" si="36"/>
        <v>272.29715454080764</v>
      </c>
      <c r="E30" s="17">
        <f>S90</f>
        <v>279</v>
      </c>
      <c r="F30" s="4">
        <f t="shared" si="34"/>
        <v>281.10927587032018</v>
      </c>
      <c r="G30" s="4">
        <f t="shared" si="34"/>
        <v>283.1693834194545</v>
      </c>
      <c r="H30" s="4">
        <f t="shared" si="34"/>
        <v>285.17220310812468</v>
      </c>
      <c r="I30" s="4">
        <f t="shared" si="34"/>
        <v>287.12044144942342</v>
      </c>
      <c r="J30" s="4">
        <f t="shared" ref="J30:Q30" si="37">I30*J$44/I$44</f>
        <v>289.02808209433022</v>
      </c>
      <c r="K30" s="4">
        <f t="shared" si="37"/>
        <v>290.89602721387593</v>
      </c>
      <c r="L30" s="4">
        <f t="shared" si="37"/>
        <v>292.74457565625664</v>
      </c>
      <c r="M30" s="4">
        <f t="shared" si="37"/>
        <v>294.57733610559603</v>
      </c>
      <c r="N30" s="4">
        <f t="shared" si="37"/>
        <v>296.40107484462607</v>
      </c>
      <c r="O30" s="4">
        <f t="shared" si="37"/>
        <v>298.21940055747052</v>
      </c>
      <c r="P30" s="4">
        <f t="shared" si="37"/>
        <v>300.04765015165526</v>
      </c>
      <c r="Q30" s="4">
        <f t="shared" si="37"/>
        <v>301.89439425197406</v>
      </c>
    </row>
    <row r="31" spans="1:22" x14ac:dyDescent="0.35">
      <c r="A31" s="12" t="s">
        <v>434</v>
      </c>
      <c r="B31" s="201">
        <f t="shared" ref="B31:D31" si="38">B$47/C$47*C31</f>
        <v>327.49003237348785</v>
      </c>
      <c r="C31" s="201">
        <f t="shared" si="38"/>
        <v>339.30175498381328</v>
      </c>
      <c r="D31" s="201">
        <f t="shared" si="38"/>
        <v>353.30311807803713</v>
      </c>
      <c r="E31" s="17">
        <f t="shared" ref="E31:E38" si="39">S92</f>
        <v>362</v>
      </c>
      <c r="F31" s="4">
        <f t="shared" si="34"/>
        <v>364.736766541419</v>
      </c>
      <c r="G31" s="4">
        <f t="shared" si="34"/>
        <v>367.40973762667579</v>
      </c>
      <c r="H31" s="4">
        <f t="shared" si="34"/>
        <v>370.00837822631235</v>
      </c>
      <c r="I31" s="4">
        <f t="shared" si="34"/>
        <v>372.53620001681469</v>
      </c>
      <c r="J31" s="4">
        <f t="shared" ref="J31:Q31" si="40">I31*J$44/I$44</f>
        <v>375.01134666002707</v>
      </c>
      <c r="K31" s="4">
        <f t="shared" si="40"/>
        <v>377.43498871477817</v>
      </c>
      <c r="L31" s="4">
        <f t="shared" si="40"/>
        <v>379.83346375471297</v>
      </c>
      <c r="M31" s="4">
        <f t="shared" si="40"/>
        <v>382.21145401514616</v>
      </c>
      <c r="N31" s="4">
        <f t="shared" si="40"/>
        <v>384.57773868729265</v>
      </c>
      <c r="O31" s="4">
        <f t="shared" si="40"/>
        <v>386.9370000064672</v>
      </c>
      <c r="P31" s="4">
        <f t="shared" si="40"/>
        <v>389.30913747275702</v>
      </c>
      <c r="Q31" s="4">
        <f t="shared" si="40"/>
        <v>391.70527139503452</v>
      </c>
    </row>
    <row r="32" spans="1:22" s="200" customFormat="1" x14ac:dyDescent="0.35">
      <c r="A32" s="183" t="s">
        <v>433</v>
      </c>
      <c r="B32" s="201">
        <f>$E32</f>
        <v>0</v>
      </c>
      <c r="C32" s="201">
        <f>$E32</f>
        <v>0</v>
      </c>
      <c r="D32" s="201">
        <f>$E32</f>
        <v>0</v>
      </c>
      <c r="E32" s="199">
        <f t="shared" si="39"/>
        <v>0</v>
      </c>
      <c r="F32" s="198">
        <f t="shared" si="34"/>
        <v>0</v>
      </c>
      <c r="G32" s="198">
        <f t="shared" si="34"/>
        <v>0</v>
      </c>
      <c r="H32" s="198">
        <f t="shared" si="34"/>
        <v>0</v>
      </c>
      <c r="I32" s="198">
        <f t="shared" si="34"/>
        <v>0</v>
      </c>
      <c r="J32" s="198">
        <f t="shared" ref="J32:Q32" si="41">I32*J$44/I$44</f>
        <v>0</v>
      </c>
      <c r="K32" s="198">
        <f t="shared" si="41"/>
        <v>0</v>
      </c>
      <c r="L32" s="198">
        <f t="shared" si="41"/>
        <v>0</v>
      </c>
      <c r="M32" s="198">
        <f t="shared" si="41"/>
        <v>0</v>
      </c>
      <c r="N32" s="198">
        <f t="shared" si="41"/>
        <v>0</v>
      </c>
      <c r="O32" s="198">
        <f t="shared" si="41"/>
        <v>0</v>
      </c>
      <c r="P32" s="198">
        <f t="shared" si="41"/>
        <v>0</v>
      </c>
      <c r="Q32" s="198">
        <f t="shared" si="41"/>
        <v>0</v>
      </c>
    </row>
    <row r="33" spans="1:39" s="200" customFormat="1" x14ac:dyDescent="0.35">
      <c r="A33" s="183" t="s">
        <v>483</v>
      </c>
      <c r="B33" s="202"/>
      <c r="C33" s="202"/>
      <c r="D33" s="202"/>
      <c r="E33" s="199">
        <f t="shared" si="39"/>
        <v>0</v>
      </c>
      <c r="F33" s="198">
        <f t="shared" si="34"/>
        <v>0</v>
      </c>
      <c r="G33" s="198">
        <f t="shared" si="34"/>
        <v>0</v>
      </c>
      <c r="H33" s="198">
        <f t="shared" si="34"/>
        <v>0</v>
      </c>
      <c r="I33" s="198">
        <f t="shared" si="34"/>
        <v>0</v>
      </c>
      <c r="J33" s="198">
        <f t="shared" ref="J33:Q33" si="42">I33*J$44/I$44</f>
        <v>0</v>
      </c>
      <c r="K33" s="198">
        <f t="shared" si="42"/>
        <v>0</v>
      </c>
      <c r="L33" s="198">
        <f t="shared" si="42"/>
        <v>0</v>
      </c>
      <c r="M33" s="198">
        <f t="shared" si="42"/>
        <v>0</v>
      </c>
      <c r="N33" s="198">
        <f t="shared" si="42"/>
        <v>0</v>
      </c>
      <c r="O33" s="198">
        <f t="shared" si="42"/>
        <v>0</v>
      </c>
      <c r="P33" s="198">
        <f t="shared" si="42"/>
        <v>0</v>
      </c>
      <c r="Q33" s="198">
        <f t="shared" si="42"/>
        <v>0</v>
      </c>
    </row>
    <row r="34" spans="1:39" s="197" customFormat="1" x14ac:dyDescent="0.35">
      <c r="A34" s="184" t="s">
        <v>484</v>
      </c>
      <c r="B34" s="204">
        <f t="shared" ref="B34:D35" si="43">$E34</f>
        <v>0</v>
      </c>
      <c r="C34" s="204">
        <f t="shared" si="43"/>
        <v>0</v>
      </c>
      <c r="D34" s="204">
        <f t="shared" si="43"/>
        <v>0</v>
      </c>
      <c r="E34" s="196">
        <f t="shared" si="39"/>
        <v>0</v>
      </c>
      <c r="F34" s="195">
        <f t="shared" si="34"/>
        <v>0</v>
      </c>
      <c r="G34" s="195">
        <f t="shared" si="34"/>
        <v>0</v>
      </c>
      <c r="H34" s="195">
        <f t="shared" si="34"/>
        <v>0</v>
      </c>
      <c r="I34" s="195">
        <f t="shared" si="34"/>
        <v>0</v>
      </c>
      <c r="J34" s="195">
        <f t="shared" ref="J34:Q34" si="44">I34*J$44/I$44</f>
        <v>0</v>
      </c>
      <c r="K34" s="195">
        <f t="shared" si="44"/>
        <v>0</v>
      </c>
      <c r="L34" s="195">
        <f t="shared" si="44"/>
        <v>0</v>
      </c>
      <c r="M34" s="195">
        <f t="shared" si="44"/>
        <v>0</v>
      </c>
      <c r="N34" s="195">
        <f t="shared" si="44"/>
        <v>0</v>
      </c>
      <c r="O34" s="195">
        <f t="shared" si="44"/>
        <v>0</v>
      </c>
      <c r="P34" s="195">
        <f t="shared" si="44"/>
        <v>0</v>
      </c>
      <c r="Q34" s="195">
        <f t="shared" si="44"/>
        <v>0</v>
      </c>
    </row>
    <row r="35" spans="1:39" s="200" customFormat="1" x14ac:dyDescent="0.35">
      <c r="A35" s="183" t="s">
        <v>289</v>
      </c>
      <c r="B35" s="201">
        <f t="shared" si="43"/>
        <v>0</v>
      </c>
      <c r="C35" s="201">
        <f t="shared" si="43"/>
        <v>0</v>
      </c>
      <c r="D35" s="201">
        <f t="shared" si="43"/>
        <v>0</v>
      </c>
      <c r="E35" s="199">
        <f t="shared" si="39"/>
        <v>0</v>
      </c>
      <c r="F35" s="198"/>
      <c r="G35" s="198"/>
      <c r="H35" s="198">
        <f>H14/2</f>
        <v>55.194619956411245</v>
      </c>
      <c r="I35" s="198">
        <f>I14</f>
        <v>111.14339669009942</v>
      </c>
      <c r="J35" s="198">
        <f t="shared" ref="J35:Q35" si="45">I35*J$44/I$44</f>
        <v>111.88183823006332</v>
      </c>
      <c r="K35" s="198">
        <f t="shared" si="45"/>
        <v>112.60491376021005</v>
      </c>
      <c r="L35" s="198">
        <f t="shared" si="45"/>
        <v>113.32048089919613</v>
      </c>
      <c r="M35" s="198">
        <f t="shared" si="45"/>
        <v>114.02993655700492</v>
      </c>
      <c r="N35" s="198">
        <f t="shared" si="45"/>
        <v>114.73589993985526</v>
      </c>
      <c r="O35" s="198">
        <f t="shared" si="45"/>
        <v>115.43976795773052</v>
      </c>
      <c r="P35" s="198">
        <f t="shared" si="45"/>
        <v>116.1474774780601</v>
      </c>
      <c r="Q35" s="198">
        <f t="shared" si="45"/>
        <v>116.86234616205448</v>
      </c>
    </row>
    <row r="36" spans="1:39" x14ac:dyDescent="0.35">
      <c r="A36" s="12" t="s">
        <v>437</v>
      </c>
      <c r="B36" s="201">
        <f t="shared" ref="B36:C36" si="46">B$47/C$47*C36</f>
        <v>183.79237446407691</v>
      </c>
      <c r="C36" s="201">
        <f t="shared" si="46"/>
        <v>190.42129238664415</v>
      </c>
      <c r="D36" s="201">
        <f>V69/M69*E36</f>
        <v>198.27906976744185</v>
      </c>
      <c r="E36" s="17">
        <f t="shared" si="39"/>
        <v>203</v>
      </c>
      <c r="F36" s="4">
        <f t="shared" si="34"/>
        <v>204.53470609919356</v>
      </c>
      <c r="G36" s="4">
        <f t="shared" si="34"/>
        <v>206.03363739838451</v>
      </c>
      <c r="H36" s="4">
        <f t="shared" si="34"/>
        <v>207.49088613243484</v>
      </c>
      <c r="I36" s="4">
        <f t="shared" si="34"/>
        <v>208.90842155639055</v>
      </c>
      <c r="J36" s="4">
        <f t="shared" ref="J36:Q36" si="47">I36*J$44/I$44</f>
        <v>210.29641815465607</v>
      </c>
      <c r="K36" s="4">
        <f t="shared" si="47"/>
        <v>211.65553234558004</v>
      </c>
      <c r="L36" s="4">
        <f t="shared" si="47"/>
        <v>213.00053354200756</v>
      </c>
      <c r="M36" s="4">
        <f t="shared" si="47"/>
        <v>214.33404741733332</v>
      </c>
      <c r="N36" s="4">
        <f t="shared" si="47"/>
        <v>215.66099710917237</v>
      </c>
      <c r="O36" s="4">
        <f t="shared" si="47"/>
        <v>216.98400829091941</v>
      </c>
      <c r="P36" s="4">
        <f t="shared" si="47"/>
        <v>218.31424007450184</v>
      </c>
      <c r="Q36" s="4">
        <f t="shared" si="47"/>
        <v>219.65792843423202</v>
      </c>
    </row>
    <row r="37" spans="1:39" x14ac:dyDescent="0.35">
      <c r="A37" s="12" t="s">
        <v>435</v>
      </c>
      <c r="B37" s="237">
        <f>$E37</f>
        <v>74</v>
      </c>
      <c r="C37" s="237">
        <f>$E37</f>
        <v>74</v>
      </c>
      <c r="D37" s="237">
        <f>$E37</f>
        <v>74</v>
      </c>
      <c r="E37" s="17">
        <f t="shared" si="39"/>
        <v>74</v>
      </c>
      <c r="F37" s="4">
        <f t="shared" si="34"/>
        <v>74.559449513991737</v>
      </c>
      <c r="G37" s="4">
        <f t="shared" si="34"/>
        <v>75.105857967884006</v>
      </c>
      <c r="H37" s="4">
        <f t="shared" si="34"/>
        <v>75.637071792119102</v>
      </c>
      <c r="I37" s="4">
        <f t="shared" si="34"/>
        <v>76.153808843216254</v>
      </c>
      <c r="J37" s="4">
        <f t="shared" ref="J37:Q37" si="48">I37*J$44/I$44</f>
        <v>76.659778046524863</v>
      </c>
      <c r="K37" s="4">
        <f t="shared" si="48"/>
        <v>77.15521868755134</v>
      </c>
      <c r="L37" s="4">
        <f t="shared" si="48"/>
        <v>77.645514690189955</v>
      </c>
      <c r="M37" s="4">
        <f t="shared" si="48"/>
        <v>78.13162319646635</v>
      </c>
      <c r="N37" s="4">
        <f t="shared" si="48"/>
        <v>78.615338847678629</v>
      </c>
      <c r="O37" s="4">
        <f t="shared" si="48"/>
        <v>79.097618785852418</v>
      </c>
      <c r="P37" s="4">
        <f t="shared" si="48"/>
        <v>79.582530864596748</v>
      </c>
      <c r="Q37" s="4">
        <f t="shared" si="48"/>
        <v>80.072348296222529</v>
      </c>
    </row>
    <row r="38" spans="1:39" s="197" customFormat="1" x14ac:dyDescent="0.35">
      <c r="A38" s="184" t="s">
        <v>486</v>
      </c>
      <c r="B38" s="195"/>
      <c r="C38" s="195"/>
      <c r="D38" s="195"/>
      <c r="E38" s="196">
        <f t="shared" si="39"/>
        <v>0</v>
      </c>
      <c r="F38" s="195">
        <f t="shared" si="34"/>
        <v>0</v>
      </c>
      <c r="G38" s="195">
        <f t="shared" si="34"/>
        <v>0</v>
      </c>
      <c r="H38" s="195">
        <f t="shared" si="34"/>
        <v>0</v>
      </c>
      <c r="I38" s="195">
        <f t="shared" si="34"/>
        <v>0</v>
      </c>
      <c r="J38" s="195">
        <f t="shared" ref="J38:Q38" si="49">I38*J$44/I$44</f>
        <v>0</v>
      </c>
      <c r="K38" s="195">
        <f t="shared" si="49"/>
        <v>0</v>
      </c>
      <c r="L38" s="195">
        <f t="shared" si="49"/>
        <v>0</v>
      </c>
      <c r="M38" s="195">
        <f t="shared" si="49"/>
        <v>0</v>
      </c>
      <c r="N38" s="195">
        <f t="shared" si="49"/>
        <v>0</v>
      </c>
      <c r="O38" s="195">
        <f t="shared" si="49"/>
        <v>0</v>
      </c>
      <c r="P38" s="195">
        <f t="shared" si="49"/>
        <v>0</v>
      </c>
      <c r="Q38" s="195">
        <f t="shared" si="49"/>
        <v>0</v>
      </c>
    </row>
    <row r="39" spans="1:39" x14ac:dyDescent="0.35">
      <c r="A39" s="699"/>
      <c r="B39" s="699"/>
      <c r="C39" s="699"/>
      <c r="D39" s="699"/>
      <c r="E39" s="700"/>
      <c r="F39" s="699"/>
      <c r="G39" s="699"/>
      <c r="H39" s="699"/>
      <c r="I39" s="699"/>
      <c r="J39" s="699"/>
      <c r="K39" s="699"/>
      <c r="L39" s="699"/>
      <c r="M39" s="699"/>
      <c r="N39" s="699"/>
      <c r="O39" s="699"/>
      <c r="P39" s="699"/>
      <c r="Q39" s="699"/>
    </row>
    <row r="40" spans="1:39" x14ac:dyDescent="0.35">
      <c r="A40" s="10" t="s">
        <v>485</v>
      </c>
      <c r="B40" s="10">
        <f t="shared" ref="B40:D40" si="50">B24+B25+B26+B30+B31+B32+B33+B35+B36+B37</f>
        <v>4923.1683328897034</v>
      </c>
      <c r="C40" s="10">
        <f t="shared" si="50"/>
        <v>5795.5765330073373</v>
      </c>
      <c r="D40" s="10">
        <f t="shared" si="50"/>
        <v>7168.4245391830145</v>
      </c>
      <c r="E40" s="18">
        <f>E24+E25+E26+E30+E31+E32+E33+E35+E36+E37</f>
        <v>8110</v>
      </c>
      <c r="F40" s="10">
        <f t="shared" ref="F40:Q40" si="51">F24+F25+F26+F30+F31+F32+F33+F35+F36+F37</f>
        <v>8743.9126426820676</v>
      </c>
      <c r="G40" s="10">
        <f t="shared" si="51"/>
        <v>9444.0923511455858</v>
      </c>
      <c r="H40" s="10">
        <f t="shared" si="51"/>
        <v>10201.734663163157</v>
      </c>
      <c r="I40" s="10">
        <f t="shared" si="51"/>
        <v>10899.602532460027</v>
      </c>
      <c r="J40" s="10">
        <f t="shared" si="51"/>
        <v>10972.019963623361</v>
      </c>
      <c r="K40" s="10">
        <f t="shared" si="51"/>
        <v>11042.930482054988</v>
      </c>
      <c r="L40" s="10">
        <f t="shared" si="51"/>
        <v>11113.104668129083</v>
      </c>
      <c r="M40" s="10">
        <f t="shared" si="51"/>
        <v>11182.679513912157</v>
      </c>
      <c r="N40" s="10">
        <f t="shared" si="51"/>
        <v>11251.911879528934</v>
      </c>
      <c r="O40" s="10">
        <f t="shared" si="51"/>
        <v>11320.938757045937</v>
      </c>
      <c r="P40" s="10">
        <f t="shared" si="51"/>
        <v>11390.342362745863</v>
      </c>
      <c r="Q40" s="10">
        <f t="shared" si="51"/>
        <v>11460.448052786696</v>
      </c>
    </row>
    <row r="41" spans="1:39" s="192" customFormat="1" x14ac:dyDescent="0.35">
      <c r="A41" s="190" t="s">
        <v>492</v>
      </c>
      <c r="B41" s="190">
        <f>B40+B29+B34</f>
        <v>4923.1683328897034</v>
      </c>
      <c r="C41" s="190">
        <f t="shared" ref="C41" si="52">C40+C29+C34</f>
        <v>5795.5765330073373</v>
      </c>
      <c r="D41" s="190">
        <f t="shared" ref="D41" si="53">D40+D29+D34</f>
        <v>7168.4245391830145</v>
      </c>
      <c r="E41" s="191">
        <f t="shared" ref="E41" si="54">E40+E29+E34</f>
        <v>8110</v>
      </c>
      <c r="F41" s="190">
        <f t="shared" ref="F41" si="55">F40+F29+F34</f>
        <v>8743.9126426820676</v>
      </c>
      <c r="G41" s="190">
        <f t="shared" ref="G41" si="56">G40+G29+G34</f>
        <v>9444.0923511455858</v>
      </c>
      <c r="H41" s="190">
        <f t="shared" ref="H41" si="57">H40+H29+H34</f>
        <v>10201.734663163157</v>
      </c>
      <c r="I41" s="190">
        <f t="shared" ref="I41" si="58">I40+I29+I34</f>
        <v>10899.602532460027</v>
      </c>
      <c r="J41" s="190">
        <f t="shared" ref="J41" si="59">J40+J29+J34</f>
        <v>10972.019963623361</v>
      </c>
      <c r="K41" s="190">
        <f t="shared" ref="K41" si="60">K40+K29+K34</f>
        <v>11042.930482054988</v>
      </c>
      <c r="L41" s="190">
        <f t="shared" ref="L41" si="61">L40+L29+L34</f>
        <v>11113.104668129083</v>
      </c>
      <c r="M41" s="190">
        <f t="shared" ref="M41" si="62">M40+M29+M34</f>
        <v>11182.679513912157</v>
      </c>
      <c r="N41" s="190">
        <f t="shared" ref="N41" si="63">N40+N29+N34</f>
        <v>11251.911879528934</v>
      </c>
      <c r="O41" s="190">
        <f t="shared" ref="O41" si="64">O40+O29+O34</f>
        <v>11320.938757045937</v>
      </c>
      <c r="P41" s="190">
        <f t="shared" ref="P41" si="65">P40+P29+P34</f>
        <v>11390.342362745863</v>
      </c>
      <c r="Q41" s="190">
        <f t="shared" ref="Q41" si="66">Q40+Q29+Q34</f>
        <v>11460.448052786696</v>
      </c>
    </row>
    <row r="42" spans="1:39" x14ac:dyDescent="0.35">
      <c r="A42" s="15"/>
    </row>
    <row r="43" spans="1:39" s="21" customFormat="1" x14ac:dyDescent="0.35">
      <c r="A43" s="21" t="s">
        <v>44</v>
      </c>
      <c r="E43" s="233">
        <v>2023</v>
      </c>
      <c r="F43" s="233">
        <v>2024</v>
      </c>
      <c r="G43" s="233">
        <v>2025</v>
      </c>
      <c r="H43" s="233">
        <v>2026</v>
      </c>
      <c r="I43" s="233">
        <v>2027</v>
      </c>
      <c r="J43" s="233">
        <v>2028</v>
      </c>
      <c r="K43" s="233">
        <v>2029</v>
      </c>
      <c r="L43" s="233">
        <v>2030</v>
      </c>
      <c r="M43" s="233">
        <v>2031</v>
      </c>
      <c r="N43" s="233">
        <v>2032</v>
      </c>
      <c r="O43" s="233">
        <v>2033</v>
      </c>
      <c r="P43" s="233">
        <v>2034</v>
      </c>
      <c r="Q43" s="233">
        <v>2035</v>
      </c>
    </row>
    <row r="44" spans="1:39" customFormat="1" x14ac:dyDescent="0.35">
      <c r="A44" s="20" t="s">
        <v>465</v>
      </c>
      <c r="B44" s="20"/>
      <c r="C44" s="20"/>
      <c r="D44" s="20"/>
      <c r="E44" s="1">
        <v>618508</v>
      </c>
      <c r="F44" s="1">
        <v>623184</v>
      </c>
      <c r="G44" s="1">
        <v>627751</v>
      </c>
      <c r="H44" s="1">
        <v>632191</v>
      </c>
      <c r="I44" s="1">
        <v>636510</v>
      </c>
      <c r="J44" s="1">
        <v>640739</v>
      </c>
      <c r="K44" s="1">
        <v>644880</v>
      </c>
      <c r="L44" s="1">
        <v>648978</v>
      </c>
      <c r="M44" s="1">
        <v>653041</v>
      </c>
      <c r="N44" s="1">
        <v>657084</v>
      </c>
      <c r="O44" s="1">
        <v>661115</v>
      </c>
      <c r="P44" s="1">
        <v>665168</v>
      </c>
      <c r="Q44" s="1">
        <v>669262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customFormat="1" x14ac:dyDescent="0.35">
      <c r="A45" s="20" t="s">
        <v>508</v>
      </c>
      <c r="B45" s="236"/>
      <c r="C45" s="235"/>
      <c r="D45" s="235"/>
      <c r="E45" s="235"/>
      <c r="F45" s="235">
        <f t="shared" ref="F45" si="67">(F44-E44)/E44</f>
        <v>7.5601285674558776E-3</v>
      </c>
      <c r="G45" s="235">
        <f t="shared" ref="G45" si="68">(G44-F44)/F44</f>
        <v>7.3284936712110713E-3</v>
      </c>
      <c r="H45" s="235">
        <f t="shared" ref="H45" si="69">(H44-G44)/G44</f>
        <v>7.0728680639298063E-3</v>
      </c>
      <c r="I45" s="235">
        <f t="shared" ref="I45" si="70">(I44-H44)/H44</f>
        <v>6.8317960869420796E-3</v>
      </c>
      <c r="J45" s="235">
        <f t="shared" ref="J45" si="71">(J44-I44)/I44</f>
        <v>6.6440432986127479E-3</v>
      </c>
      <c r="K45" s="235">
        <f t="shared" ref="K45" si="72">(K44-J44)/J44</f>
        <v>6.462849927973793E-3</v>
      </c>
      <c r="L45" s="235">
        <f t="shared" ref="L45" si="73">(L44-K44)/K44</f>
        <v>6.3546706363974692E-3</v>
      </c>
      <c r="M45" s="235">
        <f t="shared" ref="M45" si="74">(M44-L44)/L44</f>
        <v>6.2606128404969043E-3</v>
      </c>
      <c r="N45" s="235">
        <f t="shared" ref="N45" si="75">(N44-M44)/M44</f>
        <v>6.1910354786299786E-3</v>
      </c>
      <c r="O45" s="235">
        <f t="shared" ref="O45" si="76">(O44-N44)/N44</f>
        <v>6.1346798887204684E-3</v>
      </c>
      <c r="P45" s="235">
        <f t="shared" ref="P45" si="77">(P44-O44)/O44</f>
        <v>6.1305521732225102E-3</v>
      </c>
      <c r="Q45" s="235">
        <f t="shared" ref="Q45" si="78">(Q44-P44)/P44</f>
        <v>6.1548360714887068E-3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1" customFormat="1" x14ac:dyDescent="0.35">
      <c r="A46" s="21" t="s">
        <v>507</v>
      </c>
    </row>
    <row r="47" spans="1:39" customFormat="1" x14ac:dyDescent="0.35">
      <c r="A47" s="20" t="s">
        <v>509</v>
      </c>
      <c r="B47" s="234">
        <v>10619</v>
      </c>
      <c r="C47" s="234">
        <v>11002</v>
      </c>
      <c r="D47" s="234">
        <v>11456</v>
      </c>
      <c r="E47" s="234">
        <v>11738</v>
      </c>
      <c r="F47" s="3">
        <f>E47+230</f>
        <v>11968</v>
      </c>
      <c r="G47" s="3">
        <f t="shared" ref="G47:Q47" si="79">F47+230</f>
        <v>12198</v>
      </c>
      <c r="H47" s="3">
        <f t="shared" si="79"/>
        <v>12428</v>
      </c>
      <c r="I47" s="3">
        <f t="shared" si="79"/>
        <v>12658</v>
      </c>
      <c r="J47" s="3">
        <f t="shared" si="79"/>
        <v>12888</v>
      </c>
      <c r="K47" s="3">
        <f t="shared" si="79"/>
        <v>13118</v>
      </c>
      <c r="L47" s="3">
        <f t="shared" si="79"/>
        <v>13348</v>
      </c>
      <c r="M47" s="3">
        <f t="shared" si="79"/>
        <v>13578</v>
      </c>
      <c r="N47" s="3">
        <f t="shared" si="79"/>
        <v>13808</v>
      </c>
      <c r="O47" s="3">
        <f t="shared" si="79"/>
        <v>14038</v>
      </c>
      <c r="P47" s="3">
        <f t="shared" si="79"/>
        <v>14268</v>
      </c>
      <c r="Q47" s="3">
        <f t="shared" si="79"/>
        <v>14498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customFormat="1" x14ac:dyDescent="0.35">
      <c r="A48" s="20" t="s">
        <v>508</v>
      </c>
      <c r="B48" s="236">
        <v>3.3680039623576026E-2</v>
      </c>
      <c r="C48" s="235">
        <f>(C47-B47)/B47</f>
        <v>3.6067426311328747E-2</v>
      </c>
      <c r="D48" s="235">
        <f t="shared" ref="D48:E48" si="80">(D47-C47)/C47</f>
        <v>4.1265224504635524E-2</v>
      </c>
      <c r="E48" s="235">
        <f t="shared" si="80"/>
        <v>2.4615921787709497E-2</v>
      </c>
      <c r="F48" s="235">
        <f t="shared" ref="F48" si="81">(F47-E47)/E47</f>
        <v>1.9594479468393253E-2</v>
      </c>
      <c r="G48" s="235">
        <f t="shared" ref="G48" si="82">(G47-F47)/F47</f>
        <v>1.9217914438502674E-2</v>
      </c>
      <c r="H48" s="235">
        <f t="shared" ref="H48" si="83">(H47-G47)/G47</f>
        <v>1.8855550090178717E-2</v>
      </c>
      <c r="I48" s="235">
        <f t="shared" ref="I48" si="84">(I47-H47)/H47</f>
        <v>1.8506598004505954E-2</v>
      </c>
      <c r="J48" s="235">
        <f t="shared" ref="J48" si="85">(J47-I47)/I47</f>
        <v>1.8170327065887185E-2</v>
      </c>
      <c r="K48" s="235">
        <f t="shared" ref="K48" si="86">(K47-J47)/J47</f>
        <v>1.7846058348851643E-2</v>
      </c>
      <c r="L48" s="235">
        <f t="shared" ref="L48" si="87">(L47-K47)/K47</f>
        <v>1.7533160542765665E-2</v>
      </c>
      <c r="M48" s="235">
        <f t="shared" ref="M48" si="88">(M47-L47)/L47</f>
        <v>1.7231045849565477E-2</v>
      </c>
      <c r="N48" s="235">
        <f t="shared" ref="N48" si="89">(N47-M47)/M47</f>
        <v>1.693916629842392E-2</v>
      </c>
      <c r="O48" s="235">
        <f t="shared" ref="O48" si="90">(O47-N47)/N47</f>
        <v>1.6657010428736962E-2</v>
      </c>
      <c r="P48" s="235">
        <f t="shared" ref="P48" si="91">(P47-O47)/O47</f>
        <v>1.638410029918792E-2</v>
      </c>
      <c r="Q48" s="235">
        <f t="shared" ref="Q48" si="92">(Q47-P47)/P47</f>
        <v>1.6119988786094757E-2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customFormat="1" x14ac:dyDescent="0.35">
      <c r="A49" s="20"/>
      <c r="B49" s="20"/>
      <c r="C49" s="2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idden="1" outlineLevel="1" x14ac:dyDescent="0.35">
      <c r="D50" s="97"/>
      <c r="E50" s="98"/>
      <c r="F50" s="1028" t="s">
        <v>6</v>
      </c>
      <c r="G50" s="1023" t="s">
        <v>136</v>
      </c>
      <c r="H50" s="1014" t="s">
        <v>222</v>
      </c>
      <c r="I50" s="1014"/>
      <c r="J50" s="1014" t="s">
        <v>49</v>
      </c>
      <c r="K50" s="1014"/>
      <c r="L50" s="1014" t="s">
        <v>223</v>
      </c>
      <c r="M50" s="1014"/>
      <c r="N50" s="1014" t="s">
        <v>224</v>
      </c>
      <c r="O50" s="1014"/>
      <c r="P50" s="1013" t="s">
        <v>225</v>
      </c>
      <c r="Q50" s="1014" t="s">
        <v>226</v>
      </c>
      <c r="R50" s="1014"/>
      <c r="S50" s="1014" t="s">
        <v>227</v>
      </c>
      <c r="T50" s="1014"/>
      <c r="U50" s="1021" t="s">
        <v>496</v>
      </c>
      <c r="V50" s="1022"/>
      <c r="W50" s="1013" t="s">
        <v>495</v>
      </c>
      <c r="X50" s="1014" t="s">
        <v>226</v>
      </c>
      <c r="Y50" s="1014"/>
      <c r="Z50" s="1014" t="s">
        <v>227</v>
      </c>
      <c r="AA50" s="1014"/>
    </row>
    <row r="51" spans="1:39" customFormat="1" ht="87" hidden="1" outlineLevel="1" x14ac:dyDescent="0.35">
      <c r="B51" s="99" t="s">
        <v>228</v>
      </c>
      <c r="C51" s="97" t="s">
        <v>229</v>
      </c>
      <c r="D51" s="99" t="s">
        <v>230</v>
      </c>
      <c r="E51" s="100"/>
      <c r="F51" s="1028"/>
      <c r="G51" s="1024"/>
      <c r="H51" s="101" t="s">
        <v>38</v>
      </c>
      <c r="I51" s="101" t="s">
        <v>39</v>
      </c>
      <c r="J51" s="101" t="s">
        <v>38</v>
      </c>
      <c r="K51" s="101" t="s">
        <v>39</v>
      </c>
      <c r="L51" s="101" t="s">
        <v>38</v>
      </c>
      <c r="M51" s="101" t="s">
        <v>39</v>
      </c>
      <c r="N51" s="101" t="s">
        <v>38</v>
      </c>
      <c r="O51" s="101" t="s">
        <v>39</v>
      </c>
      <c r="P51" s="1013"/>
      <c r="Q51" s="101" t="s">
        <v>38</v>
      </c>
      <c r="R51" s="101" t="s">
        <v>39</v>
      </c>
      <c r="S51" s="101" t="s">
        <v>38</v>
      </c>
      <c r="T51" s="101" t="s">
        <v>39</v>
      </c>
      <c r="U51" s="101" t="s">
        <v>493</v>
      </c>
      <c r="V51" s="101" t="s">
        <v>494</v>
      </c>
      <c r="W51" s="1013"/>
      <c r="X51" s="101" t="s">
        <v>38</v>
      </c>
      <c r="Y51" s="101" t="s">
        <v>39</v>
      </c>
      <c r="Z51" s="101" t="s">
        <v>38</v>
      </c>
      <c r="AA51" s="101" t="s">
        <v>39</v>
      </c>
    </row>
    <row r="52" spans="1:39" customFormat="1" hidden="1" outlineLevel="1" x14ac:dyDescent="0.35">
      <c r="A52" t="s">
        <v>231</v>
      </c>
      <c r="B52" s="102">
        <v>447</v>
      </c>
      <c r="C52" s="69">
        <v>163</v>
      </c>
      <c r="D52" s="103">
        <f>ROUND(C52*$D$76,0)</f>
        <v>385</v>
      </c>
      <c r="E52" s="100"/>
      <c r="F52" s="57" t="str">
        <f>A52</f>
        <v>Juuliku küla</v>
      </c>
      <c r="G52" s="104">
        <f>B52</f>
        <v>447</v>
      </c>
      <c r="H52" s="105">
        <f>ROUND(L52*$D$76,0)</f>
        <v>245</v>
      </c>
      <c r="I52" s="105">
        <f>ROUND(M52*$D$76,0)</f>
        <v>241</v>
      </c>
      <c r="J52" s="105">
        <f>ROUND((N52-L52)*$D$76,0)</f>
        <v>19</v>
      </c>
      <c r="K52" s="105">
        <f>ROUND((O52-M52)*$D$76,0)</f>
        <v>24</v>
      </c>
      <c r="L52" s="106">
        <v>104</v>
      </c>
      <c r="M52" s="106">
        <v>102</v>
      </c>
      <c r="N52" s="106">
        <v>112</v>
      </c>
      <c r="O52" s="106">
        <v>112</v>
      </c>
      <c r="P52" s="107"/>
      <c r="Q52" s="108"/>
      <c r="R52" s="108"/>
      <c r="S52" s="109"/>
      <c r="T52" s="109"/>
      <c r="U52" s="207"/>
      <c r="V52" s="207"/>
      <c r="W52" s="107"/>
      <c r="X52" s="108"/>
      <c r="Y52" s="108"/>
      <c r="Z52" s="109"/>
      <c r="AA52" s="109"/>
    </row>
    <row r="53" spans="1:39" customFormat="1" hidden="1" outlineLevel="1" x14ac:dyDescent="0.35">
      <c r="B53" s="102"/>
      <c r="C53" s="69"/>
      <c r="D53" s="103"/>
      <c r="E53" s="100"/>
      <c r="F53" s="110" t="s">
        <v>232</v>
      </c>
      <c r="G53" s="111">
        <v>112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7"/>
      <c r="Q53" s="108"/>
      <c r="R53" s="108"/>
      <c r="S53" s="109"/>
      <c r="T53" s="109"/>
      <c r="U53" s="207"/>
      <c r="V53" s="207"/>
      <c r="W53" s="107"/>
      <c r="X53" s="108"/>
      <c r="Y53" s="108"/>
      <c r="Z53" s="109"/>
      <c r="AA53" s="109"/>
    </row>
    <row r="54" spans="1:39" customFormat="1" hidden="1" outlineLevel="1" x14ac:dyDescent="0.35">
      <c r="A54" t="s">
        <v>233</v>
      </c>
      <c r="B54" s="102">
        <v>306</v>
      </c>
      <c r="C54" s="69">
        <v>101</v>
      </c>
      <c r="D54" s="103">
        <f>ROUND(C54*$D$76,0)</f>
        <v>238</v>
      </c>
      <c r="E54" s="100"/>
      <c r="F54" s="57" t="str">
        <f t="shared" ref="F54:G69" si="93">A54</f>
        <v>Jälgimäe küla</v>
      </c>
      <c r="G54" s="60">
        <f t="shared" si="93"/>
        <v>306</v>
      </c>
      <c r="H54" s="112">
        <f>ROUND(S54,0)</f>
        <v>81</v>
      </c>
      <c r="I54" s="112">
        <f>T54</f>
        <v>0</v>
      </c>
      <c r="J54" s="105">
        <f t="shared" ref="J54:K56" si="94">ROUND((N54-L54)*$D$76,0)</f>
        <v>19</v>
      </c>
      <c r="K54" s="105">
        <f t="shared" si="94"/>
        <v>0</v>
      </c>
      <c r="L54" s="56">
        <v>29</v>
      </c>
      <c r="M54" s="59">
        <v>2</v>
      </c>
      <c r="N54" s="56">
        <v>37</v>
      </c>
      <c r="O54" s="59">
        <v>2</v>
      </c>
      <c r="P54" s="107">
        <v>310</v>
      </c>
      <c r="Q54" s="108">
        <v>0.26</v>
      </c>
      <c r="R54" s="108">
        <v>0</v>
      </c>
      <c r="S54" s="113">
        <f t="shared" ref="S54" si="95">Q54*$P54</f>
        <v>80.600000000000009</v>
      </c>
      <c r="T54" s="113">
        <f>R54*$P54</f>
        <v>0</v>
      </c>
      <c r="U54" s="209">
        <v>42</v>
      </c>
      <c r="V54" s="207"/>
      <c r="W54" s="107"/>
      <c r="X54" s="108"/>
      <c r="Y54" s="108"/>
      <c r="Z54" s="113"/>
      <c r="AA54" s="113"/>
    </row>
    <row r="55" spans="1:39" customFormat="1" hidden="1" outlineLevel="1" x14ac:dyDescent="0.35">
      <c r="A55" t="s">
        <v>234</v>
      </c>
      <c r="B55" s="102">
        <v>72</v>
      </c>
      <c r="C55" s="69">
        <v>16</v>
      </c>
      <c r="D55" s="103">
        <f>ROUND(C55*$D$76,0)</f>
        <v>38</v>
      </c>
      <c r="E55" s="100"/>
      <c r="F55" s="57" t="str">
        <f t="shared" si="93"/>
        <v>Kajamaa küla</v>
      </c>
      <c r="G55" s="60">
        <f t="shared" si="93"/>
        <v>72</v>
      </c>
      <c r="H55" s="105">
        <f>ROUND(L55*$D$76,0)</f>
        <v>7</v>
      </c>
      <c r="I55" s="105">
        <f>ROUND(M55*$D$76,0)</f>
        <v>0</v>
      </c>
      <c r="J55" s="105">
        <f t="shared" si="94"/>
        <v>0</v>
      </c>
      <c r="K55" s="105">
        <f t="shared" si="94"/>
        <v>0</v>
      </c>
      <c r="L55" s="56">
        <v>3</v>
      </c>
      <c r="M55" s="56">
        <v>0</v>
      </c>
      <c r="N55" s="56">
        <v>3</v>
      </c>
      <c r="O55" s="56">
        <v>0</v>
      </c>
      <c r="P55" s="107"/>
      <c r="Q55" s="108"/>
      <c r="R55" s="108"/>
      <c r="S55" s="113"/>
      <c r="T55" s="113"/>
      <c r="U55" s="207"/>
      <c r="V55" s="207"/>
      <c r="W55" s="107"/>
      <c r="X55" s="108"/>
      <c r="Y55" s="108"/>
      <c r="Z55" s="113"/>
      <c r="AA55" s="113"/>
    </row>
    <row r="56" spans="1:39" customFormat="1" hidden="1" outlineLevel="1" x14ac:dyDescent="0.35">
      <c r="A56" t="s">
        <v>235</v>
      </c>
      <c r="B56" s="114">
        <v>711</v>
      </c>
      <c r="C56" s="115">
        <v>399</v>
      </c>
      <c r="D56" s="116">
        <f>ROUND(C56*$D$76,0)</f>
        <v>942</v>
      </c>
      <c r="E56" s="100"/>
      <c r="F56" s="57" t="str">
        <f t="shared" si="93"/>
        <v>Kasemetsa küla</v>
      </c>
      <c r="G56" s="29">
        <f>D56</f>
        <v>942</v>
      </c>
      <c r="H56" s="105">
        <f>ROUND(L56*$D$76,0)</f>
        <v>401</v>
      </c>
      <c r="I56" s="105">
        <f>ROUND(M56*$D$76,0)</f>
        <v>399</v>
      </c>
      <c r="J56" s="105">
        <f t="shared" si="94"/>
        <v>470</v>
      </c>
      <c r="K56" s="105">
        <f t="shared" si="94"/>
        <v>422</v>
      </c>
      <c r="L56" s="117">
        <v>170</v>
      </c>
      <c r="M56" s="117">
        <v>169</v>
      </c>
      <c r="N56" s="117">
        <v>369</v>
      </c>
      <c r="O56" s="117">
        <v>348</v>
      </c>
      <c r="P56" s="107">
        <v>536</v>
      </c>
      <c r="Q56" s="63">
        <v>0.33</v>
      </c>
      <c r="R56" s="63">
        <v>0.33</v>
      </c>
      <c r="S56" s="208">
        <f>U56*$D$76</f>
        <v>325.68</v>
      </c>
      <c r="T56" s="208">
        <f>V56*$D$76</f>
        <v>325.68</v>
      </c>
      <c r="U56" s="206">
        <v>138</v>
      </c>
      <c r="V56" s="207">
        <v>138</v>
      </c>
      <c r="W56" s="107">
        <v>468</v>
      </c>
      <c r="X56" s="63">
        <v>0.33</v>
      </c>
      <c r="Y56" s="63">
        <v>0.33</v>
      </c>
      <c r="Z56" s="113">
        <f>X56*$P56</f>
        <v>176.88</v>
      </c>
      <c r="AA56" s="113">
        <f>Y56*$P56</f>
        <v>176.88</v>
      </c>
    </row>
    <row r="57" spans="1:39" customFormat="1" hidden="1" outlineLevel="1" x14ac:dyDescent="0.35">
      <c r="B57" s="114"/>
      <c r="C57" s="69"/>
      <c r="D57" s="119"/>
      <c r="E57" s="120">
        <f>N57/N56</f>
        <v>2.7100271002710029E-2</v>
      </c>
      <c r="F57" s="121" t="s">
        <v>236</v>
      </c>
      <c r="G57" s="122">
        <f t="shared" ref="G57:M57" si="96">ROUND($E57*G56,0)</f>
        <v>26</v>
      </c>
      <c r="H57" s="122">
        <f t="shared" si="96"/>
        <v>11</v>
      </c>
      <c r="I57" s="122">
        <f t="shared" si="96"/>
        <v>11</v>
      </c>
      <c r="J57" s="122">
        <f t="shared" si="96"/>
        <v>13</v>
      </c>
      <c r="K57" s="122">
        <f t="shared" si="96"/>
        <v>11</v>
      </c>
      <c r="L57" s="122">
        <f t="shared" si="96"/>
        <v>5</v>
      </c>
      <c r="M57" s="122">
        <f t="shared" si="96"/>
        <v>5</v>
      </c>
      <c r="N57" s="123">
        <v>10</v>
      </c>
      <c r="O57" s="122">
        <f>ROUND($E57*O56,0)</f>
        <v>9</v>
      </c>
      <c r="P57" s="107"/>
      <c r="Q57" s="118"/>
      <c r="R57" s="118"/>
      <c r="S57" s="122">
        <f t="shared" ref="S57:T57" si="97">ROUND($E57*S56,0)</f>
        <v>9</v>
      </c>
      <c r="T57" s="122">
        <f t="shared" si="97"/>
        <v>9</v>
      </c>
      <c r="U57" s="206"/>
      <c r="V57" s="207"/>
      <c r="W57" s="107"/>
      <c r="X57" s="118"/>
      <c r="Y57" s="118"/>
      <c r="Z57" s="113"/>
      <c r="AA57" s="113"/>
    </row>
    <row r="58" spans="1:39" customFormat="1" hidden="1" outlineLevel="1" x14ac:dyDescent="0.35">
      <c r="A58" t="s">
        <v>237</v>
      </c>
      <c r="B58" s="114">
        <v>729</v>
      </c>
      <c r="C58" s="115">
        <v>482</v>
      </c>
      <c r="D58" s="116">
        <f>ROUND(C58*$D$76,0)</f>
        <v>1138</v>
      </c>
      <c r="E58" s="100"/>
      <c r="F58" s="57" t="str">
        <f t="shared" ref="F58:F62" si="98">A58</f>
        <v>Kiisa alevik</v>
      </c>
      <c r="G58" s="29">
        <f>D58</f>
        <v>1138</v>
      </c>
      <c r="H58" s="105">
        <f>ROUND(L58*$D$76,0)</f>
        <v>477</v>
      </c>
      <c r="I58" s="105">
        <f>ROUND(M58*$D$76,0)</f>
        <v>465</v>
      </c>
      <c r="J58" s="105">
        <f>ROUND((N58-L58)*$D$76,0)</f>
        <v>670</v>
      </c>
      <c r="K58" s="105">
        <f>ROUND((O58-M58)*$D$76,0)</f>
        <v>654</v>
      </c>
      <c r="L58" s="117">
        <v>202</v>
      </c>
      <c r="M58" s="117">
        <v>197</v>
      </c>
      <c r="N58" s="117">
        <v>486</v>
      </c>
      <c r="O58" s="117">
        <v>474</v>
      </c>
      <c r="P58" s="107">
        <v>676</v>
      </c>
      <c r="Q58" s="63">
        <v>0.14000000000000001</v>
      </c>
      <c r="R58" s="63">
        <v>0.14000000000000001</v>
      </c>
      <c r="S58" s="208">
        <f>U58*$D$76</f>
        <v>413</v>
      </c>
      <c r="T58" s="208">
        <f>V58*$D$76</f>
        <v>413</v>
      </c>
      <c r="U58" s="206">
        <v>175</v>
      </c>
      <c r="V58" s="207">
        <v>175</v>
      </c>
      <c r="W58" s="107">
        <v>676</v>
      </c>
      <c r="X58" s="63">
        <v>0.14000000000000001</v>
      </c>
      <c r="Y58" s="63">
        <v>0.14000000000000001</v>
      </c>
      <c r="Z58" s="113">
        <f>X58*$P58</f>
        <v>94.640000000000015</v>
      </c>
      <c r="AA58" s="113">
        <f>Y58*$P58</f>
        <v>94.640000000000015</v>
      </c>
    </row>
    <row r="59" spans="1:39" customFormat="1" hidden="1" outlineLevel="1" x14ac:dyDescent="0.35">
      <c r="A59" s="124" t="s">
        <v>238</v>
      </c>
      <c r="B59" s="114">
        <v>91</v>
      </c>
      <c r="C59" s="69"/>
      <c r="D59" s="119"/>
      <c r="E59" s="100"/>
      <c r="F59" s="125" t="str">
        <f t="shared" si="98"/>
        <v>Kirdalu küla</v>
      </c>
      <c r="G59" s="60">
        <f t="shared" si="93"/>
        <v>91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7"/>
      <c r="Q59" s="118"/>
      <c r="R59" s="118"/>
      <c r="S59" s="113"/>
      <c r="T59" s="113"/>
      <c r="U59" s="206"/>
      <c r="V59" s="207"/>
      <c r="W59" s="107"/>
      <c r="X59" s="118"/>
      <c r="Y59" s="118"/>
      <c r="Z59" s="113"/>
      <c r="AA59" s="113"/>
    </row>
    <row r="60" spans="1:39" customFormat="1" hidden="1" outlineLevel="1" x14ac:dyDescent="0.35">
      <c r="A60" t="s">
        <v>239</v>
      </c>
      <c r="B60" s="102">
        <v>329</v>
      </c>
      <c r="C60" s="69">
        <v>39</v>
      </c>
      <c r="D60" s="103">
        <f>ROUND(C60*$D$76,0)</f>
        <v>92</v>
      </c>
      <c r="E60" s="100" t="s">
        <v>240</v>
      </c>
      <c r="F60" s="57" t="str">
        <f t="shared" si="98"/>
        <v>Kurtna küla</v>
      </c>
      <c r="G60" s="60">
        <f t="shared" si="93"/>
        <v>329</v>
      </c>
      <c r="H60" s="126">
        <f>ROUND($G60*Q60,0)</f>
        <v>286</v>
      </c>
      <c r="I60" s="126">
        <f>ROUND($G60*R60,0)</f>
        <v>276</v>
      </c>
      <c r="J60" s="105">
        <f>ROUND((N60-L60)*$D$76,0)</f>
        <v>40</v>
      </c>
      <c r="K60" s="105">
        <f>ROUND((O60-M60)*$D$76,0)</f>
        <v>40</v>
      </c>
      <c r="L60" s="56">
        <v>42</v>
      </c>
      <c r="M60" s="56">
        <v>42</v>
      </c>
      <c r="N60" s="56">
        <v>59</v>
      </c>
      <c r="O60" s="56">
        <v>59</v>
      </c>
      <c r="P60" s="107">
        <v>314</v>
      </c>
      <c r="Q60" s="118">
        <v>0.87</v>
      </c>
      <c r="R60" s="118">
        <v>0.84</v>
      </c>
      <c r="S60" s="113">
        <f t="shared" ref="S60:T61" si="99">Q60*$P60</f>
        <v>273.18</v>
      </c>
      <c r="T60" s="113">
        <f t="shared" si="99"/>
        <v>263.76</v>
      </c>
      <c r="U60" s="207">
        <v>39</v>
      </c>
      <c r="V60" s="207">
        <v>42</v>
      </c>
      <c r="W60" s="107"/>
      <c r="X60" s="118"/>
      <c r="Y60" s="118"/>
      <c r="Z60" s="113"/>
      <c r="AA60" s="113"/>
    </row>
    <row r="61" spans="1:39" customFormat="1" hidden="1" outlineLevel="1" x14ac:dyDescent="0.35">
      <c r="A61" t="s">
        <v>241</v>
      </c>
      <c r="B61" s="127">
        <v>62</v>
      </c>
      <c r="C61" s="69">
        <v>292</v>
      </c>
      <c r="D61" s="103">
        <f>ROUND(C61*$D$76,0)</f>
        <v>689</v>
      </c>
      <c r="E61" s="100" t="s">
        <v>242</v>
      </c>
      <c r="F61" s="57" t="str">
        <f t="shared" si="98"/>
        <v>Lokuti  küla</v>
      </c>
      <c r="G61" s="128">
        <f>P61</f>
        <v>88</v>
      </c>
      <c r="H61" s="112">
        <f>ROUND(S61,0)</f>
        <v>83</v>
      </c>
      <c r="I61" s="129">
        <f>ROUND(H61-(L61-M61)*D76,0)</f>
        <v>74</v>
      </c>
      <c r="J61" s="130">
        <v>0</v>
      </c>
      <c r="K61" s="130">
        <v>0</v>
      </c>
      <c r="L61" s="56">
        <v>10</v>
      </c>
      <c r="M61" s="56">
        <v>6</v>
      </c>
      <c r="N61" s="59">
        <v>8</v>
      </c>
      <c r="O61" s="59">
        <v>5</v>
      </c>
      <c r="P61" s="107">
        <v>88</v>
      </c>
      <c r="Q61" s="118">
        <v>0.94</v>
      </c>
      <c r="R61" s="118">
        <v>0</v>
      </c>
      <c r="S61" s="113">
        <f t="shared" si="99"/>
        <v>82.72</v>
      </c>
      <c r="T61" s="113">
        <f t="shared" si="99"/>
        <v>0</v>
      </c>
      <c r="U61" s="207">
        <v>8</v>
      </c>
      <c r="V61" s="207"/>
      <c r="W61" s="107"/>
      <c r="X61" s="118"/>
      <c r="Y61" s="118"/>
      <c r="Z61" s="113"/>
      <c r="AA61" s="113"/>
    </row>
    <row r="62" spans="1:39" customFormat="1" hidden="1" outlineLevel="1" x14ac:dyDescent="0.35">
      <c r="A62" t="s">
        <v>243</v>
      </c>
      <c r="B62" s="114">
        <v>882</v>
      </c>
      <c r="C62" s="115">
        <v>762</v>
      </c>
      <c r="D62" s="116">
        <f>ROUND(C62*$D$76,0)</f>
        <v>1798</v>
      </c>
      <c r="E62" s="100"/>
      <c r="F62" s="57" t="str">
        <f t="shared" si="98"/>
        <v>Metsanurme küla</v>
      </c>
      <c r="G62" s="1029">
        <f>D62</f>
        <v>1798</v>
      </c>
      <c r="H62" s="105">
        <f>ROUND(L62*$D$76,0)</f>
        <v>722</v>
      </c>
      <c r="I62" s="105">
        <f>ROUND(M62*$D$76,0)</f>
        <v>743</v>
      </c>
      <c r="J62" s="105">
        <f>ROUND((N62-L62)*$D$76,0)</f>
        <v>781</v>
      </c>
      <c r="K62" s="105">
        <f>ROUND((O62-M62)*$D$76,0)</f>
        <v>920</v>
      </c>
      <c r="L62" s="117">
        <v>306</v>
      </c>
      <c r="M62" s="117">
        <v>315</v>
      </c>
      <c r="N62" s="117">
        <v>637</v>
      </c>
      <c r="O62" s="117">
        <v>705</v>
      </c>
      <c r="P62" s="107">
        <v>783</v>
      </c>
      <c r="Q62" s="63">
        <v>0.13</v>
      </c>
      <c r="R62" s="63">
        <v>0.13</v>
      </c>
      <c r="S62" s="208">
        <f>U62*$D$76</f>
        <v>413</v>
      </c>
      <c r="T62" s="208">
        <f>V62*$D$76</f>
        <v>413</v>
      </c>
      <c r="U62" s="206">
        <v>175</v>
      </c>
      <c r="V62" s="207">
        <v>175</v>
      </c>
      <c r="W62" s="107">
        <v>756</v>
      </c>
      <c r="X62" s="63">
        <v>0.13</v>
      </c>
      <c r="Y62" s="63">
        <v>0.13</v>
      </c>
      <c r="Z62" s="113">
        <f>X62*$P62</f>
        <v>101.79</v>
      </c>
      <c r="AA62" s="113">
        <f>Y62*$P62</f>
        <v>101.79</v>
      </c>
    </row>
    <row r="63" spans="1:39" customFormat="1" hidden="1" outlineLevel="1" x14ac:dyDescent="0.35">
      <c r="B63" s="114"/>
      <c r="C63" s="69"/>
      <c r="D63" s="119"/>
      <c r="E63" s="100"/>
      <c r="F63" s="131" t="s">
        <v>244</v>
      </c>
      <c r="G63" s="1030"/>
      <c r="H63" s="132">
        <f>ROUND((O62-N62)*D76,0)</f>
        <v>160</v>
      </c>
      <c r="I63" s="132">
        <v>0</v>
      </c>
      <c r="J63" s="132">
        <v>0</v>
      </c>
      <c r="K63" s="132">
        <v>0</v>
      </c>
      <c r="L63" s="56"/>
      <c r="M63" s="56"/>
      <c r="N63" s="56"/>
      <c r="O63" s="56"/>
      <c r="P63" s="107"/>
      <c r="Q63" s="118"/>
      <c r="R63" s="118"/>
      <c r="S63" s="113"/>
      <c r="T63" s="113"/>
      <c r="U63" s="206"/>
      <c r="V63" s="207"/>
      <c r="W63" s="107"/>
      <c r="X63" s="118"/>
      <c r="Y63" s="118"/>
      <c r="Z63" s="113"/>
      <c r="AA63" s="113"/>
    </row>
    <row r="64" spans="1:39" customFormat="1" hidden="1" outlineLevel="1" x14ac:dyDescent="0.35">
      <c r="A64" t="s">
        <v>245</v>
      </c>
      <c r="B64" s="102">
        <v>313</v>
      </c>
      <c r="C64" s="69">
        <v>130</v>
      </c>
      <c r="D64" s="103">
        <f>ROUND(C64*$D$76,0)</f>
        <v>307</v>
      </c>
      <c r="E64" s="100"/>
      <c r="F64" s="57" t="str">
        <f>A64</f>
        <v>Männiku küla</v>
      </c>
      <c r="G64" s="60">
        <f t="shared" si="93"/>
        <v>313</v>
      </c>
      <c r="H64" s="126">
        <f>ROUND($G64*Q64,0)</f>
        <v>279</v>
      </c>
      <c r="I64" s="126">
        <f>ROUND($G64*R64,0)</f>
        <v>279</v>
      </c>
      <c r="J64" s="126">
        <f>$G64-H64</f>
        <v>34</v>
      </c>
      <c r="K64" s="126">
        <f>$G64-I64</f>
        <v>34</v>
      </c>
      <c r="L64" s="56">
        <v>149</v>
      </c>
      <c r="M64" s="56">
        <v>130</v>
      </c>
      <c r="N64" s="56">
        <v>157</v>
      </c>
      <c r="O64" s="56">
        <v>130</v>
      </c>
      <c r="P64" s="107">
        <v>302</v>
      </c>
      <c r="Q64" s="118">
        <v>0.89</v>
      </c>
      <c r="R64" s="118">
        <v>0.89</v>
      </c>
      <c r="S64" s="113">
        <f>Q64*$P64</f>
        <v>268.78000000000003</v>
      </c>
      <c r="T64" s="113">
        <f>R64*$P64</f>
        <v>268.78000000000003</v>
      </c>
      <c r="U64" s="209">
        <v>151</v>
      </c>
      <c r="V64" s="209">
        <v>151</v>
      </c>
      <c r="W64" s="107"/>
      <c r="X64" s="118"/>
      <c r="Y64" s="118"/>
      <c r="Z64" s="113"/>
      <c r="AA64" s="113"/>
    </row>
    <row r="65" spans="1:27" customFormat="1" hidden="1" outlineLevel="1" x14ac:dyDescent="0.35">
      <c r="A65" s="124" t="s">
        <v>246</v>
      </c>
      <c r="B65" s="119">
        <v>157</v>
      </c>
      <c r="C65" s="69"/>
      <c r="D65" s="103"/>
      <c r="E65" s="100"/>
      <c r="F65" s="125" t="str">
        <f t="shared" ref="F65:G74" si="100">A65</f>
        <v>Rahula küla</v>
      </c>
      <c r="G65" s="60">
        <f t="shared" si="93"/>
        <v>157</v>
      </c>
      <c r="H65" s="132">
        <v>70</v>
      </c>
      <c r="I65" s="132">
        <v>0</v>
      </c>
      <c r="J65" s="132">
        <v>0</v>
      </c>
      <c r="K65" s="132">
        <v>0</v>
      </c>
      <c r="L65" s="56"/>
      <c r="M65" s="56"/>
      <c r="N65" s="56"/>
      <c r="O65" s="56"/>
      <c r="P65" s="107"/>
      <c r="Q65" s="118"/>
      <c r="R65" s="118"/>
      <c r="S65" s="113"/>
      <c r="T65" s="113"/>
      <c r="U65" s="207"/>
      <c r="V65" s="207"/>
      <c r="W65" s="107"/>
      <c r="X65" s="118"/>
      <c r="Y65" s="118"/>
      <c r="Z65" s="113"/>
      <c r="AA65" s="113"/>
    </row>
    <row r="66" spans="1:27" customFormat="1" hidden="1" outlineLevel="1" x14ac:dyDescent="0.35">
      <c r="A66" t="s">
        <v>247</v>
      </c>
      <c r="B66" s="114">
        <v>605</v>
      </c>
      <c r="C66" s="115">
        <v>550</v>
      </c>
      <c r="D66" s="116">
        <f>ROUND(C66*$D$76,0)</f>
        <v>1298</v>
      </c>
      <c r="E66" s="100"/>
      <c r="F66" s="57" t="str">
        <f t="shared" si="100"/>
        <v>Roobuka küla</v>
      </c>
      <c r="G66" s="29">
        <f>D66</f>
        <v>1298</v>
      </c>
      <c r="H66" s="105">
        <f>ROUND(L66*$D$76,0)</f>
        <v>592</v>
      </c>
      <c r="I66" s="105">
        <f>ROUND(M66*$D$76,0)</f>
        <v>500</v>
      </c>
      <c r="J66" s="105">
        <f>ROUND((N66-L66)*$D$76,0)</f>
        <v>663</v>
      </c>
      <c r="K66" s="105">
        <f>ROUND((O66-M66)*$D$76,0)</f>
        <v>666</v>
      </c>
      <c r="L66" s="117">
        <v>251</v>
      </c>
      <c r="M66" s="117">
        <v>212</v>
      </c>
      <c r="N66" s="117">
        <v>532</v>
      </c>
      <c r="O66" s="117">
        <v>494</v>
      </c>
      <c r="P66" s="107">
        <v>541</v>
      </c>
      <c r="Q66" s="63">
        <v>0.08</v>
      </c>
      <c r="R66" s="63">
        <v>0.08</v>
      </c>
      <c r="S66" s="208">
        <f>U66*$D$76</f>
        <v>450.76</v>
      </c>
      <c r="T66" s="208">
        <f>V66*$D$76</f>
        <v>450.76</v>
      </c>
      <c r="U66" s="206">
        <v>191</v>
      </c>
      <c r="V66" s="207">
        <v>191</v>
      </c>
      <c r="W66" s="107">
        <v>529</v>
      </c>
      <c r="X66" s="63">
        <v>0.08</v>
      </c>
      <c r="Y66" s="63">
        <v>0.08</v>
      </c>
      <c r="Z66" s="113">
        <f>X66*$P66</f>
        <v>43.28</v>
      </c>
      <c r="AA66" s="113">
        <f>Y66*$P66</f>
        <v>43.28</v>
      </c>
    </row>
    <row r="67" spans="1:27" customFormat="1" hidden="1" outlineLevel="1" x14ac:dyDescent="0.35">
      <c r="A67" t="s">
        <v>248</v>
      </c>
      <c r="B67" s="102">
        <v>4893</v>
      </c>
      <c r="C67" s="69">
        <v>1092</v>
      </c>
      <c r="D67" s="103">
        <f>ROUND(C67*$D$76,0)</f>
        <v>2577</v>
      </c>
      <c r="E67" s="100" t="s">
        <v>249</v>
      </c>
      <c r="F67" s="57" t="str">
        <f t="shared" si="100"/>
        <v>Saku alevik</v>
      </c>
      <c r="G67" s="60">
        <f>B67</f>
        <v>4893</v>
      </c>
      <c r="H67" s="112">
        <f>ROUND(S67,0)</f>
        <v>4141</v>
      </c>
      <c r="I67" s="112">
        <f>ROUND(T67,0)</f>
        <v>4047</v>
      </c>
      <c r="J67" s="105">
        <f>ROUND((N67-L67)*$D$76,0)</f>
        <v>550</v>
      </c>
      <c r="K67" s="105">
        <f>ROUND((O67-M67)*$D$76,0)</f>
        <v>658</v>
      </c>
      <c r="L67" s="56">
        <v>1025</v>
      </c>
      <c r="M67" s="56">
        <v>990</v>
      </c>
      <c r="N67" s="56">
        <v>1258</v>
      </c>
      <c r="O67" s="56">
        <v>1269</v>
      </c>
      <c r="P67" s="107">
        <v>4706</v>
      </c>
      <c r="Q67" s="108">
        <v>0.88</v>
      </c>
      <c r="R67" s="108">
        <v>0.86</v>
      </c>
      <c r="S67" s="113">
        <f>Q67*$P67</f>
        <v>4141.28</v>
      </c>
      <c r="T67" s="113">
        <f>R67*$P67</f>
        <v>4047.16</v>
      </c>
      <c r="U67" s="207">
        <v>995</v>
      </c>
      <c r="V67" s="207">
        <v>995</v>
      </c>
      <c r="W67" s="107"/>
      <c r="X67" s="108"/>
      <c r="Y67" s="108"/>
      <c r="Z67" s="113"/>
      <c r="AA67" s="113"/>
    </row>
    <row r="68" spans="1:27" customFormat="1" hidden="1" outlineLevel="1" x14ac:dyDescent="0.35">
      <c r="A68" s="124" t="s">
        <v>250</v>
      </c>
      <c r="B68" s="119">
        <v>156</v>
      </c>
      <c r="C68" s="69"/>
      <c r="D68" s="103"/>
      <c r="E68" s="100"/>
      <c r="F68" s="125" t="str">
        <f t="shared" si="100"/>
        <v>Saue küla</v>
      </c>
      <c r="G68" s="60">
        <f t="shared" si="93"/>
        <v>156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0</v>
      </c>
      <c r="O68" s="104">
        <v>0</v>
      </c>
      <c r="P68" s="107"/>
      <c r="Q68" s="108"/>
      <c r="R68" s="108"/>
      <c r="S68" s="113"/>
      <c r="T68" s="113"/>
      <c r="U68" s="207"/>
      <c r="V68" s="207"/>
      <c r="W68" s="107"/>
      <c r="X68" s="108"/>
      <c r="Y68" s="108"/>
      <c r="Z68" s="113"/>
      <c r="AA68" s="113"/>
    </row>
    <row r="69" spans="1:27" customFormat="1" hidden="1" outlineLevel="1" x14ac:dyDescent="0.35">
      <c r="A69" t="s">
        <v>251</v>
      </c>
      <c r="B69" s="102">
        <v>261</v>
      </c>
      <c r="C69" s="69">
        <v>86</v>
      </c>
      <c r="D69" s="103">
        <f>ROUND(C69*$D$76,0)</f>
        <v>203</v>
      </c>
      <c r="E69" s="100"/>
      <c r="F69" s="57" t="str">
        <f t="shared" si="100"/>
        <v>Saustinõmme küla</v>
      </c>
      <c r="G69" s="60">
        <f t="shared" si="93"/>
        <v>261</v>
      </c>
      <c r="H69" s="105">
        <f>ROUND(L69*$D$76,0)</f>
        <v>203</v>
      </c>
      <c r="I69" s="105">
        <f>ROUND(M69*$D$76,0)</f>
        <v>203</v>
      </c>
      <c r="J69" s="105">
        <f>ROUND((N69-L69)*$D$76,0)</f>
        <v>0</v>
      </c>
      <c r="K69" s="105">
        <f>ROUND((O69-M69)*$D$76,0)</f>
        <v>0</v>
      </c>
      <c r="L69" s="56">
        <v>86</v>
      </c>
      <c r="M69" s="56">
        <v>86</v>
      </c>
      <c r="N69" s="56">
        <v>86</v>
      </c>
      <c r="O69" s="56">
        <v>86</v>
      </c>
      <c r="P69" s="107">
        <v>256</v>
      </c>
      <c r="Q69" s="63">
        <v>1</v>
      </c>
      <c r="R69" s="63">
        <v>1</v>
      </c>
      <c r="S69" s="113">
        <f>Q69*$P69</f>
        <v>256</v>
      </c>
      <c r="T69" s="113">
        <f>R69*$P69</f>
        <v>256</v>
      </c>
      <c r="U69" s="207">
        <v>84</v>
      </c>
      <c r="V69" s="207">
        <v>84</v>
      </c>
      <c r="W69" s="107"/>
      <c r="X69" s="108"/>
      <c r="Y69" s="108"/>
      <c r="Z69" s="113"/>
      <c r="AA69" s="113"/>
    </row>
    <row r="70" spans="1:27" customFormat="1" hidden="1" outlineLevel="1" x14ac:dyDescent="0.35">
      <c r="A70" s="124" t="s">
        <v>252</v>
      </c>
      <c r="B70" s="119">
        <v>215</v>
      </c>
      <c r="C70" s="69"/>
      <c r="D70" s="103"/>
      <c r="E70" s="100"/>
      <c r="F70" s="125" t="str">
        <f t="shared" si="100"/>
        <v>Tagadi küla</v>
      </c>
      <c r="G70" s="60">
        <f t="shared" si="100"/>
        <v>215</v>
      </c>
      <c r="H70" s="104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7"/>
      <c r="Q70" s="108"/>
      <c r="R70" s="108"/>
      <c r="S70" s="113"/>
      <c r="T70" s="113"/>
      <c r="U70" s="207"/>
      <c r="V70" s="207"/>
      <c r="W70" s="107"/>
      <c r="X70" s="108"/>
      <c r="Y70" s="108"/>
      <c r="Z70" s="113"/>
      <c r="AA70" s="113"/>
    </row>
    <row r="71" spans="1:27" customFormat="1" hidden="1" outlineLevel="1" x14ac:dyDescent="0.35">
      <c r="A71" t="s">
        <v>253</v>
      </c>
      <c r="B71" s="102">
        <v>36</v>
      </c>
      <c r="C71" s="69">
        <v>15</v>
      </c>
      <c r="D71" s="103">
        <f>ROUND(C71*$D$76,0)</f>
        <v>35</v>
      </c>
      <c r="E71" s="100"/>
      <c r="F71" s="57" t="str">
        <f t="shared" si="100"/>
        <v>Tammemäe küla</v>
      </c>
      <c r="G71" s="60">
        <f>B71</f>
        <v>36</v>
      </c>
      <c r="H71" s="105">
        <f>ROUND(L71*$D$76,0)*4</f>
        <v>28</v>
      </c>
      <c r="I71" s="105">
        <f>ROUND(M71*$D$76,0)*4</f>
        <v>28</v>
      </c>
      <c r="J71" s="105">
        <f>ROUND((N71-L71)*$D$76,0)</f>
        <v>5</v>
      </c>
      <c r="K71" s="105">
        <f>ROUND((O71-M71)*$D$76,0)</f>
        <v>5</v>
      </c>
      <c r="L71" s="56">
        <v>3</v>
      </c>
      <c r="M71" s="56">
        <v>3</v>
      </c>
      <c r="N71" s="56">
        <v>5</v>
      </c>
      <c r="O71" s="56">
        <v>5</v>
      </c>
      <c r="P71" s="107"/>
      <c r="Q71" s="108"/>
      <c r="R71" s="108"/>
      <c r="S71" s="113"/>
      <c r="T71" s="113"/>
      <c r="U71" s="207"/>
      <c r="V71" s="207"/>
      <c r="W71" s="107"/>
      <c r="X71" s="108"/>
      <c r="Y71" s="108"/>
      <c r="Z71" s="113"/>
      <c r="AA71" s="113"/>
    </row>
    <row r="72" spans="1:27" customFormat="1" hidden="1" outlineLevel="1" x14ac:dyDescent="0.35">
      <c r="A72" t="s">
        <v>254</v>
      </c>
      <c r="B72" s="102">
        <v>156</v>
      </c>
      <c r="C72" s="69">
        <v>25</v>
      </c>
      <c r="D72" s="103">
        <f>ROUND(C72*$D$76,0)</f>
        <v>59</v>
      </c>
      <c r="E72" s="100"/>
      <c r="F72" s="57" t="str">
        <f t="shared" si="100"/>
        <v>Tõdva küla</v>
      </c>
      <c r="G72" s="60">
        <f t="shared" si="100"/>
        <v>156</v>
      </c>
      <c r="H72" s="126">
        <f>ROUND($G72*Q72,0)</f>
        <v>101</v>
      </c>
      <c r="I72" s="126">
        <f>ROUND($G72*R72,0)</f>
        <v>0</v>
      </c>
      <c r="J72" s="105">
        <f>ROUND((N72-L72)*$D$76,0)</f>
        <v>2</v>
      </c>
      <c r="K72" s="105">
        <f>ROUND((O72-M72)*$D$76,0)</f>
        <v>0</v>
      </c>
      <c r="L72" s="56">
        <v>10</v>
      </c>
      <c r="M72" s="56">
        <v>0</v>
      </c>
      <c r="N72" s="56">
        <v>11</v>
      </c>
      <c r="O72" s="56">
        <v>0</v>
      </c>
      <c r="P72" s="107">
        <v>153</v>
      </c>
      <c r="Q72" s="108">
        <v>0.65</v>
      </c>
      <c r="R72" s="108">
        <v>0</v>
      </c>
      <c r="S72" s="113">
        <f t="shared" ref="S72:T73" si="101">Q72*$P72</f>
        <v>99.45</v>
      </c>
      <c r="T72" s="113">
        <f t="shared" si="101"/>
        <v>0</v>
      </c>
      <c r="U72" s="207">
        <v>9</v>
      </c>
      <c r="V72" s="207"/>
      <c r="W72" s="107"/>
      <c r="X72" s="108"/>
      <c r="Y72" s="108"/>
      <c r="Z72" s="113"/>
      <c r="AA72" s="113"/>
    </row>
    <row r="73" spans="1:27" customFormat="1" hidden="1" outlineLevel="1" x14ac:dyDescent="0.35">
      <c r="A73" t="s">
        <v>255</v>
      </c>
      <c r="B73" s="102">
        <v>448</v>
      </c>
      <c r="C73" s="69">
        <v>319</v>
      </c>
      <c r="D73" s="103">
        <f>ROUND(C73*$D$76,0)</f>
        <v>753</v>
      </c>
      <c r="E73" s="100" t="s">
        <v>256</v>
      </c>
      <c r="F73" s="57" t="str">
        <f t="shared" si="100"/>
        <v>Tänassilma küla</v>
      </c>
      <c r="G73" s="60">
        <f t="shared" si="100"/>
        <v>448</v>
      </c>
      <c r="H73" s="126">
        <f>ROUND($G73*Q73,0)</f>
        <v>376</v>
      </c>
      <c r="I73" s="126">
        <f>ROUND(M73/L73*H73,0)</f>
        <v>362</v>
      </c>
      <c r="J73" s="126">
        <f>$G73-H73</f>
        <v>72</v>
      </c>
      <c r="K73" s="126">
        <f>$G73-I73</f>
        <v>86</v>
      </c>
      <c r="L73" s="56">
        <v>209</v>
      </c>
      <c r="M73" s="56">
        <v>201</v>
      </c>
      <c r="N73" s="56">
        <v>298</v>
      </c>
      <c r="O73" s="56">
        <v>298</v>
      </c>
      <c r="P73" s="107">
        <v>446</v>
      </c>
      <c r="Q73" s="108">
        <v>0.84</v>
      </c>
      <c r="R73" s="108">
        <v>0.84</v>
      </c>
      <c r="S73" s="113">
        <f t="shared" si="101"/>
        <v>374.64</v>
      </c>
      <c r="T73" s="113">
        <f t="shared" si="101"/>
        <v>374.64</v>
      </c>
      <c r="U73" s="207">
        <v>199</v>
      </c>
      <c r="V73" s="207">
        <v>199</v>
      </c>
      <c r="W73" s="107"/>
      <c r="X73" s="108"/>
      <c r="Y73" s="108"/>
      <c r="Z73" s="113"/>
      <c r="AA73" s="113"/>
    </row>
    <row r="74" spans="1:27" customFormat="1" hidden="1" outlineLevel="1" x14ac:dyDescent="0.35">
      <c r="A74" t="s">
        <v>257</v>
      </c>
      <c r="B74" s="114">
        <v>808</v>
      </c>
      <c r="C74" s="115">
        <v>368</v>
      </c>
      <c r="D74" s="116">
        <f>ROUND(C74*$D$76,0)</f>
        <v>868</v>
      </c>
      <c r="E74" s="100"/>
      <c r="F74" s="57" t="str">
        <f t="shared" si="100"/>
        <v>Üksnurme küla</v>
      </c>
      <c r="G74" s="29">
        <f>D74</f>
        <v>868</v>
      </c>
      <c r="H74" s="105">
        <f>ROUND(L74*$D$76,0)</f>
        <v>486</v>
      </c>
      <c r="I74" s="105">
        <f>ROUND(M74*$D$76,0)</f>
        <v>493</v>
      </c>
      <c r="J74" s="105">
        <f>ROUND((N74-L74)*$D$76,0)</f>
        <v>267</v>
      </c>
      <c r="K74" s="105">
        <f>ROUND((O74-M74)*$D$76,0)</f>
        <v>278</v>
      </c>
      <c r="L74" s="117">
        <v>206</v>
      </c>
      <c r="M74" s="117">
        <v>209</v>
      </c>
      <c r="N74" s="117">
        <v>319</v>
      </c>
      <c r="O74" s="117">
        <v>327</v>
      </c>
      <c r="P74" s="107">
        <v>738</v>
      </c>
      <c r="Q74" s="108">
        <v>0.55000000000000004</v>
      </c>
      <c r="R74" s="108">
        <v>0.55000000000000004</v>
      </c>
      <c r="S74" s="208">
        <f>U74*$D$76</f>
        <v>436.59999999999997</v>
      </c>
      <c r="T74" s="208">
        <f>V74*$D$76</f>
        <v>436.59999999999997</v>
      </c>
      <c r="U74" s="207">
        <v>185</v>
      </c>
      <c r="V74" s="207">
        <v>185</v>
      </c>
      <c r="W74" s="107">
        <v>745</v>
      </c>
      <c r="X74" s="63">
        <v>0.55000000000000004</v>
      </c>
      <c r="Y74" s="63">
        <v>0.55000000000000004</v>
      </c>
      <c r="Z74" s="113">
        <f>X74*$P74</f>
        <v>405.90000000000003</v>
      </c>
      <c r="AA74" s="113">
        <f>Y74*$P74</f>
        <v>405.90000000000003</v>
      </c>
    </row>
    <row r="75" spans="1:27" customFormat="1" hidden="1" outlineLevel="1" x14ac:dyDescent="0.35">
      <c r="D75" s="133" t="s">
        <v>258</v>
      </c>
      <c r="E75" s="120">
        <f>N75/N74</f>
        <v>0.38244514106583072</v>
      </c>
      <c r="F75" s="121" t="s">
        <v>259</v>
      </c>
      <c r="G75" s="122">
        <f t="shared" ref="G75:M75" si="102">ROUND($E75*G74,0)</f>
        <v>332</v>
      </c>
      <c r="H75" s="122">
        <f t="shared" si="102"/>
        <v>186</v>
      </c>
      <c r="I75" s="122">
        <f t="shared" si="102"/>
        <v>189</v>
      </c>
      <c r="J75" s="122">
        <f t="shared" si="102"/>
        <v>102</v>
      </c>
      <c r="K75" s="122">
        <f t="shared" si="102"/>
        <v>106</v>
      </c>
      <c r="L75" s="122">
        <f t="shared" si="102"/>
        <v>79</v>
      </c>
      <c r="M75" s="122">
        <f t="shared" si="102"/>
        <v>80</v>
      </c>
      <c r="N75" s="123">
        <v>122</v>
      </c>
      <c r="O75" s="122">
        <f>ROUND(E75*O74,0)</f>
        <v>125</v>
      </c>
      <c r="S75" s="122">
        <f t="shared" ref="S75:T75" si="103">ROUND($E75*S74,0)</f>
        <v>167</v>
      </c>
      <c r="T75" s="122">
        <f t="shared" si="103"/>
        <v>167</v>
      </c>
    </row>
    <row r="76" spans="1:27" customFormat="1" hidden="1" outlineLevel="1" x14ac:dyDescent="0.35">
      <c r="D76" s="134">
        <v>2.36</v>
      </c>
      <c r="E76" s="100"/>
    </row>
    <row r="77" spans="1:27" customFormat="1" hidden="1" outlineLevel="1" x14ac:dyDescent="0.35">
      <c r="A77" s="135" t="s">
        <v>260</v>
      </c>
      <c r="D77" s="100"/>
      <c r="E77" s="100"/>
      <c r="N77" s="135" t="s">
        <v>261</v>
      </c>
    </row>
    <row r="78" spans="1:27" s="136" customFormat="1" ht="9.5" collapsed="1" x14ac:dyDescent="0.2">
      <c r="A78" s="1004" t="s">
        <v>6</v>
      </c>
      <c r="B78" s="445"/>
      <c r="C78" s="446"/>
      <c r="D78" s="1031" t="s">
        <v>264</v>
      </c>
      <c r="E78" s="1007" t="s">
        <v>500</v>
      </c>
      <c r="F78" s="1009"/>
      <c r="G78" s="1009"/>
      <c r="H78" s="1008"/>
      <c r="I78" s="1007" t="s">
        <v>503</v>
      </c>
      <c r="J78" s="1009"/>
      <c r="K78" s="1009"/>
      <c r="L78" s="1008"/>
      <c r="M78" s="135"/>
    </row>
    <row r="79" spans="1:27" s="136" customFormat="1" ht="9.5" x14ac:dyDescent="0.2">
      <c r="A79" s="1004"/>
      <c r="B79" s="445"/>
      <c r="C79" s="445"/>
      <c r="D79" s="1031"/>
      <c r="E79" s="1007" t="s">
        <v>501</v>
      </c>
      <c r="F79" s="1008"/>
      <c r="G79" s="1007" t="s">
        <v>502</v>
      </c>
      <c r="H79" s="1008"/>
      <c r="I79" s="1007" t="s">
        <v>501</v>
      </c>
      <c r="J79" s="1008"/>
      <c r="K79" s="1007" t="s">
        <v>502</v>
      </c>
      <c r="L79" s="1008"/>
      <c r="N79" s="1004" t="s">
        <v>262</v>
      </c>
      <c r="O79" s="1004" t="s">
        <v>6</v>
      </c>
      <c r="P79" s="1007" t="s">
        <v>650</v>
      </c>
      <c r="Q79" s="1008"/>
      <c r="R79" s="1007" t="s">
        <v>652</v>
      </c>
      <c r="S79" s="1008"/>
      <c r="T79" s="146" t="s">
        <v>502</v>
      </c>
      <c r="U79" s="146"/>
      <c r="V79" s="1007" t="s">
        <v>653</v>
      </c>
      <c r="W79" s="1008"/>
      <c r="X79" s="221" t="s">
        <v>506</v>
      </c>
    </row>
    <row r="80" spans="1:27" s="136" customFormat="1" ht="9.5" x14ac:dyDescent="0.2">
      <c r="A80" s="1004"/>
      <c r="B80" s="137" t="s">
        <v>262</v>
      </c>
      <c r="C80" s="137" t="s">
        <v>263</v>
      </c>
      <c r="D80" s="1031"/>
      <c r="E80" s="138" t="s">
        <v>265</v>
      </c>
      <c r="F80" s="138" t="s">
        <v>266</v>
      </c>
      <c r="G80" s="138" t="s">
        <v>265</v>
      </c>
      <c r="H80" s="138" t="s">
        <v>266</v>
      </c>
      <c r="I80" s="138" t="s">
        <v>265</v>
      </c>
      <c r="J80" s="138" t="s">
        <v>266</v>
      </c>
      <c r="K80" s="138" t="s">
        <v>265</v>
      </c>
      <c r="L80" s="138" t="s">
        <v>266</v>
      </c>
      <c r="N80" s="1004"/>
      <c r="O80" s="1004"/>
      <c r="P80" s="162" t="s">
        <v>267</v>
      </c>
      <c r="Q80" s="162" t="s">
        <v>467</v>
      </c>
      <c r="R80" s="138" t="s">
        <v>651</v>
      </c>
      <c r="S80" s="138" t="s">
        <v>654</v>
      </c>
      <c r="T80" s="218" t="s">
        <v>504</v>
      </c>
      <c r="U80" s="218" t="s">
        <v>505</v>
      </c>
      <c r="V80" s="138" t="s">
        <v>651</v>
      </c>
      <c r="W80" s="138" t="s">
        <v>654</v>
      </c>
      <c r="X80" s="220">
        <v>0.8</v>
      </c>
    </row>
    <row r="81" spans="1:23" s="136" customFormat="1" ht="9.5" x14ac:dyDescent="0.2">
      <c r="A81" s="139" t="s">
        <v>248</v>
      </c>
      <c r="B81" s="140" t="s">
        <v>268</v>
      </c>
      <c r="C81" s="140" t="s">
        <v>269</v>
      </c>
      <c r="D81" s="141">
        <f t="shared" ref="D81:D100" si="104">VLOOKUP($A81,$F$50:$T$74,2,FALSE)</f>
        <v>4893</v>
      </c>
      <c r="E81" s="142">
        <f t="shared" ref="E81:E100" si="105">VLOOKUP($A81,$F$50:$T$74,3,FALSE)</f>
        <v>4141</v>
      </c>
      <c r="F81" s="143">
        <f t="shared" ref="F81:F101" si="106">E81/$D81</f>
        <v>0.84631105661148576</v>
      </c>
      <c r="G81" s="144">
        <f t="shared" ref="G81:G100" si="107">VLOOKUP($A81,$F$50:$T$74,5,FALSE)</f>
        <v>550</v>
      </c>
      <c r="H81" s="143">
        <f t="shared" ref="H81:H101" si="108">G81/$D81</f>
        <v>0.11240547721234416</v>
      </c>
      <c r="I81" s="142">
        <f t="shared" ref="I81:I100" si="109">VLOOKUP($A81,$F$50:$T$74,4,FALSE)</f>
        <v>4047</v>
      </c>
      <c r="J81" s="143">
        <f t="shared" ref="J81:J101" si="110">I81/$D81</f>
        <v>0.82709993868792153</v>
      </c>
      <c r="K81" s="144">
        <f t="shared" ref="K81:K100" si="111">VLOOKUP($A81,$F$50:$T$74,6,FALSE)</f>
        <v>658</v>
      </c>
      <c r="L81" s="143">
        <f t="shared" ref="L81:L101" si="112">K81/$D81</f>
        <v>0.13447782546494993</v>
      </c>
      <c r="N81" s="1025" t="s">
        <v>268</v>
      </c>
      <c r="O81" s="161" t="s">
        <v>248</v>
      </c>
      <c r="P81" s="1015" t="s">
        <v>440</v>
      </c>
      <c r="Q81" s="1015" t="s">
        <v>468</v>
      </c>
      <c r="R81" s="145">
        <f>E81</f>
        <v>4141</v>
      </c>
      <c r="S81" s="145">
        <f>I81</f>
        <v>4047</v>
      </c>
      <c r="T81" s="216">
        <f>G81</f>
        <v>550</v>
      </c>
      <c r="U81" s="216">
        <f>K81</f>
        <v>658</v>
      </c>
      <c r="V81" s="445"/>
      <c r="W81" s="445"/>
    </row>
    <row r="82" spans="1:23" s="136" customFormat="1" ht="47.5" x14ac:dyDescent="0.2">
      <c r="A82" s="139" t="s">
        <v>253</v>
      </c>
      <c r="B82" s="140" t="s">
        <v>270</v>
      </c>
      <c r="C82" s="140" t="s">
        <v>269</v>
      </c>
      <c r="D82" s="141">
        <f t="shared" si="104"/>
        <v>36</v>
      </c>
      <c r="E82" s="142">
        <f t="shared" si="105"/>
        <v>28</v>
      </c>
      <c r="F82" s="143">
        <f t="shared" si="106"/>
        <v>0.77777777777777779</v>
      </c>
      <c r="G82" s="144">
        <f t="shared" si="107"/>
        <v>5</v>
      </c>
      <c r="H82" s="143">
        <f t="shared" si="108"/>
        <v>0.1388888888888889</v>
      </c>
      <c r="I82" s="142">
        <f t="shared" si="109"/>
        <v>28</v>
      </c>
      <c r="J82" s="143">
        <f t="shared" si="110"/>
        <v>0.77777777777777779</v>
      </c>
      <c r="K82" s="144">
        <f t="shared" si="111"/>
        <v>5</v>
      </c>
      <c r="L82" s="143">
        <f t="shared" si="112"/>
        <v>0.1388888888888889</v>
      </c>
      <c r="N82" s="1026"/>
      <c r="O82" s="161" t="s">
        <v>271</v>
      </c>
      <c r="P82" s="1016"/>
      <c r="Q82" s="1016"/>
      <c r="R82" s="164">
        <f>E82+E83+H57+H75</f>
        <v>470</v>
      </c>
      <c r="S82" s="164">
        <f>I82+I83+I57+I75</f>
        <v>469</v>
      </c>
      <c r="T82" s="217">
        <f>G82+G83+J57+J75</f>
        <v>139</v>
      </c>
      <c r="U82" s="217">
        <f>K82+K83+K57+K75</f>
        <v>146</v>
      </c>
      <c r="V82" s="445"/>
      <c r="W82" s="445"/>
    </row>
    <row r="83" spans="1:23" s="146" customFormat="1" ht="28.5" x14ac:dyDescent="0.2">
      <c r="A83" s="139" t="s">
        <v>231</v>
      </c>
      <c r="B83" s="140" t="s">
        <v>272</v>
      </c>
      <c r="C83" s="140" t="s">
        <v>273</v>
      </c>
      <c r="D83" s="141">
        <f t="shared" si="104"/>
        <v>447</v>
      </c>
      <c r="E83" s="142">
        <f t="shared" si="105"/>
        <v>245</v>
      </c>
      <c r="F83" s="143">
        <f t="shared" si="106"/>
        <v>0.54809843400447422</v>
      </c>
      <c r="G83" s="144">
        <f t="shared" si="107"/>
        <v>19</v>
      </c>
      <c r="H83" s="143">
        <f t="shared" si="108"/>
        <v>4.2505592841163314E-2</v>
      </c>
      <c r="I83" s="142">
        <f t="shared" si="109"/>
        <v>241</v>
      </c>
      <c r="J83" s="143">
        <f t="shared" si="110"/>
        <v>0.53914988814317677</v>
      </c>
      <c r="K83" s="144">
        <f t="shared" si="111"/>
        <v>24</v>
      </c>
      <c r="L83" s="143">
        <f t="shared" si="112"/>
        <v>5.3691275167785234E-2</v>
      </c>
      <c r="M83" s="136"/>
      <c r="N83" s="139" t="s">
        <v>274</v>
      </c>
      <c r="O83" s="140" t="s">
        <v>275</v>
      </c>
      <c r="P83" s="161" t="s">
        <v>480</v>
      </c>
      <c r="Q83" s="161" t="s">
        <v>476</v>
      </c>
      <c r="R83" s="145">
        <v>0</v>
      </c>
      <c r="S83" s="145">
        <v>0</v>
      </c>
      <c r="T83" s="216">
        <v>0</v>
      </c>
      <c r="U83" s="216">
        <v>0</v>
      </c>
      <c r="V83" s="448"/>
      <c r="W83" s="448"/>
    </row>
    <row r="84" spans="1:23" s="136" customFormat="1" ht="19" x14ac:dyDescent="0.2">
      <c r="A84" s="139" t="s">
        <v>257</v>
      </c>
      <c r="B84" s="147" t="s">
        <v>276</v>
      </c>
      <c r="C84" s="140" t="s">
        <v>269</v>
      </c>
      <c r="D84" s="141">
        <f t="shared" si="104"/>
        <v>868</v>
      </c>
      <c r="E84" s="142">
        <f t="shared" si="105"/>
        <v>486</v>
      </c>
      <c r="F84" s="143">
        <f t="shared" si="106"/>
        <v>0.55990783410138245</v>
      </c>
      <c r="G84" s="144">
        <f t="shared" si="107"/>
        <v>267</v>
      </c>
      <c r="H84" s="143">
        <f t="shared" si="108"/>
        <v>0.30760368663594467</v>
      </c>
      <c r="I84" s="142">
        <f t="shared" si="109"/>
        <v>493</v>
      </c>
      <c r="J84" s="143">
        <f t="shared" si="110"/>
        <v>0.5679723502304147</v>
      </c>
      <c r="K84" s="144">
        <f t="shared" si="111"/>
        <v>278</v>
      </c>
      <c r="L84" s="143">
        <f t="shared" si="112"/>
        <v>0.32027649769585254</v>
      </c>
      <c r="N84" s="1027" t="s">
        <v>277</v>
      </c>
      <c r="O84" s="140" t="s">
        <v>439</v>
      </c>
      <c r="P84" s="1015" t="s">
        <v>441</v>
      </c>
      <c r="Q84" s="1010" t="s">
        <v>469</v>
      </c>
      <c r="R84" s="164">
        <f>E84-H75+E85-H57</f>
        <v>690</v>
      </c>
      <c r="S84" s="164">
        <f>I84-I75+I85-I57</f>
        <v>692</v>
      </c>
      <c r="T84" s="217">
        <f>G84-J75+G85-J57</f>
        <v>622</v>
      </c>
      <c r="U84" s="217">
        <f>K84-K75+K85-K57</f>
        <v>583</v>
      </c>
      <c r="V84" s="445"/>
      <c r="W84" s="445"/>
    </row>
    <row r="85" spans="1:23" s="136" customFormat="1" ht="19" x14ac:dyDescent="0.2">
      <c r="A85" s="139" t="s">
        <v>235</v>
      </c>
      <c r="B85" s="1010" t="s">
        <v>278</v>
      </c>
      <c r="C85" s="140" t="s">
        <v>269</v>
      </c>
      <c r="D85" s="141">
        <f t="shared" si="104"/>
        <v>942</v>
      </c>
      <c r="E85" s="142">
        <f t="shared" si="105"/>
        <v>401</v>
      </c>
      <c r="F85" s="143">
        <f t="shared" si="106"/>
        <v>0.42569002123142252</v>
      </c>
      <c r="G85" s="144">
        <f t="shared" si="107"/>
        <v>470</v>
      </c>
      <c r="H85" s="143">
        <f t="shared" si="108"/>
        <v>0.49893842887473461</v>
      </c>
      <c r="I85" s="142">
        <f t="shared" si="109"/>
        <v>399</v>
      </c>
      <c r="J85" s="143">
        <f t="shared" si="110"/>
        <v>0.42356687898089174</v>
      </c>
      <c r="K85" s="144">
        <f t="shared" si="111"/>
        <v>422</v>
      </c>
      <c r="L85" s="143">
        <f t="shared" si="112"/>
        <v>0.44798301486199577</v>
      </c>
      <c r="N85" s="1027"/>
      <c r="O85" s="147" t="s">
        <v>279</v>
      </c>
      <c r="P85" s="1016"/>
      <c r="Q85" s="1011"/>
      <c r="R85" s="164">
        <f>H62</f>
        <v>722</v>
      </c>
      <c r="S85" s="1017">
        <f>I62</f>
        <v>743</v>
      </c>
      <c r="T85" s="217">
        <f>J62</f>
        <v>781</v>
      </c>
      <c r="U85" s="1019">
        <f>K62</f>
        <v>920</v>
      </c>
      <c r="V85" s="445"/>
      <c r="W85" s="445"/>
    </row>
    <row r="86" spans="1:23" s="136" customFormat="1" ht="28.5" x14ac:dyDescent="0.2">
      <c r="A86" s="139" t="s">
        <v>243</v>
      </c>
      <c r="B86" s="1011"/>
      <c r="C86" s="140" t="s">
        <v>280</v>
      </c>
      <c r="D86" s="141">
        <f t="shared" si="104"/>
        <v>1798</v>
      </c>
      <c r="E86" s="165">
        <f>VLOOKUP($A86,$F$50:$T$74,3,FALSE)+H63</f>
        <v>882</v>
      </c>
      <c r="F86" s="143">
        <f t="shared" si="106"/>
        <v>0.49054505005561733</v>
      </c>
      <c r="G86" s="144">
        <f t="shared" si="107"/>
        <v>781</v>
      </c>
      <c r="H86" s="143">
        <f t="shared" si="108"/>
        <v>0.43437152391546163</v>
      </c>
      <c r="I86" s="142">
        <f t="shared" si="109"/>
        <v>743</v>
      </c>
      <c r="J86" s="143">
        <f t="shared" si="110"/>
        <v>0.41323692992213573</v>
      </c>
      <c r="K86" s="144">
        <f t="shared" si="111"/>
        <v>920</v>
      </c>
      <c r="L86" s="143">
        <f t="shared" si="112"/>
        <v>0.51167964404894328</v>
      </c>
      <c r="N86" s="1027"/>
      <c r="O86" s="147" t="s">
        <v>281</v>
      </c>
      <c r="P86" s="147" t="s">
        <v>442</v>
      </c>
      <c r="Q86" s="1011"/>
      <c r="R86" s="164">
        <f>H63</f>
        <v>160</v>
      </c>
      <c r="S86" s="1018"/>
      <c r="T86" s="217">
        <f>J63</f>
        <v>0</v>
      </c>
      <c r="U86" s="1020"/>
      <c r="V86" s="445"/>
      <c r="W86" s="445"/>
    </row>
    <row r="87" spans="1:23" s="136" customFormat="1" ht="9.5" x14ac:dyDescent="0.2">
      <c r="A87" s="139" t="s">
        <v>239</v>
      </c>
      <c r="B87" s="1011"/>
      <c r="C87" s="140" t="s">
        <v>269</v>
      </c>
      <c r="D87" s="141">
        <f t="shared" si="104"/>
        <v>329</v>
      </c>
      <c r="E87" s="142">
        <f t="shared" si="105"/>
        <v>286</v>
      </c>
      <c r="F87" s="143">
        <f t="shared" si="106"/>
        <v>0.8693009118541033</v>
      </c>
      <c r="G87" s="144">
        <f t="shared" si="107"/>
        <v>40</v>
      </c>
      <c r="H87" s="143">
        <f t="shared" si="108"/>
        <v>0.12158054711246201</v>
      </c>
      <c r="I87" s="142">
        <f t="shared" si="109"/>
        <v>276</v>
      </c>
      <c r="J87" s="143">
        <f t="shared" si="110"/>
        <v>0.83890577507598785</v>
      </c>
      <c r="K87" s="144">
        <f t="shared" si="111"/>
        <v>40</v>
      </c>
      <c r="L87" s="143">
        <f t="shared" si="112"/>
        <v>0.12158054711246201</v>
      </c>
      <c r="N87" s="1027"/>
      <c r="O87" s="140" t="s">
        <v>239</v>
      </c>
      <c r="P87" s="1010" t="s">
        <v>450</v>
      </c>
      <c r="Q87" s="1011"/>
      <c r="R87" s="164">
        <f t="shared" ref="R87:R90" si="113">E87</f>
        <v>286</v>
      </c>
      <c r="S87" s="164">
        <f t="shared" ref="S87:S90" si="114">I87</f>
        <v>276</v>
      </c>
      <c r="T87" s="217">
        <f t="shared" ref="T87:T90" si="115">G87</f>
        <v>40</v>
      </c>
      <c r="U87" s="217">
        <f t="shared" ref="U87:U90" si="116">K87</f>
        <v>40</v>
      </c>
      <c r="V87" s="445"/>
      <c r="W87" s="445"/>
    </row>
    <row r="88" spans="1:23" s="136" customFormat="1" ht="9.5" x14ac:dyDescent="0.2">
      <c r="A88" s="139" t="s">
        <v>237</v>
      </c>
      <c r="B88" s="1011"/>
      <c r="C88" s="140" t="s">
        <v>269</v>
      </c>
      <c r="D88" s="141">
        <f t="shared" si="104"/>
        <v>1138</v>
      </c>
      <c r="E88" s="142">
        <f t="shared" si="105"/>
        <v>477</v>
      </c>
      <c r="F88" s="143">
        <f t="shared" si="106"/>
        <v>0.41915641476274162</v>
      </c>
      <c r="G88" s="144">
        <f t="shared" si="107"/>
        <v>670</v>
      </c>
      <c r="H88" s="143">
        <f t="shared" si="108"/>
        <v>0.58875219683655533</v>
      </c>
      <c r="I88" s="142">
        <f t="shared" si="109"/>
        <v>465</v>
      </c>
      <c r="J88" s="143">
        <f t="shared" si="110"/>
        <v>0.4086115992970123</v>
      </c>
      <c r="K88" s="144">
        <f t="shared" si="111"/>
        <v>654</v>
      </c>
      <c r="L88" s="143">
        <f t="shared" si="112"/>
        <v>0.57469244288224952</v>
      </c>
      <c r="N88" s="1027"/>
      <c r="O88" s="140" t="s">
        <v>237</v>
      </c>
      <c r="P88" s="1011"/>
      <c r="Q88" s="1011"/>
      <c r="R88" s="164">
        <f t="shared" si="113"/>
        <v>477</v>
      </c>
      <c r="S88" s="164">
        <f t="shared" si="114"/>
        <v>465</v>
      </c>
      <c r="T88" s="217">
        <f t="shared" si="115"/>
        <v>670</v>
      </c>
      <c r="U88" s="217">
        <f t="shared" si="116"/>
        <v>654</v>
      </c>
      <c r="V88" s="445"/>
      <c r="W88" s="445"/>
    </row>
    <row r="89" spans="1:23" s="136" customFormat="1" ht="9.5" x14ac:dyDescent="0.2">
      <c r="A89" s="139" t="s">
        <v>247</v>
      </c>
      <c r="B89" s="1011"/>
      <c r="C89" s="140" t="s">
        <v>269</v>
      </c>
      <c r="D89" s="141">
        <f t="shared" si="104"/>
        <v>1298</v>
      </c>
      <c r="E89" s="142">
        <f t="shared" si="105"/>
        <v>592</v>
      </c>
      <c r="F89" s="143">
        <f t="shared" si="106"/>
        <v>0.45608628659476119</v>
      </c>
      <c r="G89" s="144">
        <f t="shared" si="107"/>
        <v>663</v>
      </c>
      <c r="H89" s="143">
        <f t="shared" si="108"/>
        <v>0.51078582434514641</v>
      </c>
      <c r="I89" s="142">
        <f t="shared" si="109"/>
        <v>500</v>
      </c>
      <c r="J89" s="143">
        <f t="shared" si="110"/>
        <v>0.38520801232665641</v>
      </c>
      <c r="K89" s="144">
        <f t="shared" si="111"/>
        <v>666</v>
      </c>
      <c r="L89" s="143">
        <f t="shared" si="112"/>
        <v>0.51309707241910629</v>
      </c>
      <c r="N89" s="1027"/>
      <c r="O89" s="140" t="s">
        <v>247</v>
      </c>
      <c r="P89" s="1012"/>
      <c r="Q89" s="1012"/>
      <c r="R89" s="164">
        <f t="shared" si="113"/>
        <v>592</v>
      </c>
      <c r="S89" s="164">
        <f t="shared" si="114"/>
        <v>500</v>
      </c>
      <c r="T89" s="217">
        <f t="shared" si="115"/>
        <v>663</v>
      </c>
      <c r="U89" s="217">
        <f t="shared" si="116"/>
        <v>666</v>
      </c>
      <c r="V89" s="445"/>
      <c r="W89" s="445"/>
    </row>
    <row r="90" spans="1:23" s="136" customFormat="1" ht="19" x14ac:dyDescent="0.2">
      <c r="A90" s="139" t="s">
        <v>245</v>
      </c>
      <c r="B90" s="1012"/>
      <c r="C90" s="140" t="s">
        <v>269</v>
      </c>
      <c r="D90" s="141">
        <f t="shared" si="104"/>
        <v>313</v>
      </c>
      <c r="E90" s="142">
        <f t="shared" si="105"/>
        <v>279</v>
      </c>
      <c r="F90" s="143">
        <f t="shared" si="106"/>
        <v>0.89137380191693294</v>
      </c>
      <c r="G90" s="144">
        <f t="shared" si="107"/>
        <v>34</v>
      </c>
      <c r="H90" s="143">
        <f t="shared" si="108"/>
        <v>0.10862619808306709</v>
      </c>
      <c r="I90" s="142">
        <f t="shared" si="109"/>
        <v>279</v>
      </c>
      <c r="J90" s="143">
        <f t="shared" si="110"/>
        <v>0.89137380191693294</v>
      </c>
      <c r="K90" s="144">
        <f t="shared" si="111"/>
        <v>34</v>
      </c>
      <c r="L90" s="143">
        <f t="shared" si="112"/>
        <v>0.10862619808306709</v>
      </c>
      <c r="N90" s="163" t="s">
        <v>282</v>
      </c>
      <c r="O90" s="161" t="s">
        <v>245</v>
      </c>
      <c r="P90" s="161" t="s">
        <v>448</v>
      </c>
      <c r="Q90" s="161" t="s">
        <v>470</v>
      </c>
      <c r="R90" s="164">
        <f t="shared" si="113"/>
        <v>279</v>
      </c>
      <c r="S90" s="164">
        <f t="shared" si="114"/>
        <v>279</v>
      </c>
      <c r="T90" s="217">
        <f t="shared" si="115"/>
        <v>34</v>
      </c>
      <c r="U90" s="217">
        <f t="shared" si="116"/>
        <v>34</v>
      </c>
      <c r="V90" s="445"/>
      <c r="W90" s="445"/>
    </row>
    <row r="91" spans="1:23" s="136" customFormat="1" ht="38" x14ac:dyDescent="0.2">
      <c r="A91" s="139" t="s">
        <v>255</v>
      </c>
      <c r="B91" s="140" t="s">
        <v>283</v>
      </c>
      <c r="C91" s="140" t="s">
        <v>269</v>
      </c>
      <c r="D91" s="141">
        <f t="shared" si="104"/>
        <v>448</v>
      </c>
      <c r="E91" s="142">
        <f t="shared" si="105"/>
        <v>376</v>
      </c>
      <c r="F91" s="143">
        <f t="shared" si="106"/>
        <v>0.8392857142857143</v>
      </c>
      <c r="G91" s="144">
        <f t="shared" si="107"/>
        <v>72</v>
      </c>
      <c r="H91" s="143">
        <f t="shared" si="108"/>
        <v>0.16071428571428573</v>
      </c>
      <c r="I91" s="142">
        <f t="shared" si="109"/>
        <v>362</v>
      </c>
      <c r="J91" s="143">
        <f t="shared" si="110"/>
        <v>0.8080357142857143</v>
      </c>
      <c r="K91" s="144">
        <f t="shared" si="111"/>
        <v>86</v>
      </c>
      <c r="L91" s="143">
        <f t="shared" si="112"/>
        <v>0.19196428571428573</v>
      </c>
      <c r="N91" s="1005" t="s">
        <v>286</v>
      </c>
      <c r="O91" s="1005" t="s">
        <v>255</v>
      </c>
      <c r="P91" s="161" t="s">
        <v>646</v>
      </c>
      <c r="Q91" s="161" t="s">
        <v>648</v>
      </c>
      <c r="R91" s="164">
        <v>0</v>
      </c>
      <c r="S91" s="164">
        <v>0</v>
      </c>
      <c r="T91" s="217">
        <v>0</v>
      </c>
      <c r="U91" s="217">
        <v>0</v>
      </c>
      <c r="V91" s="445"/>
      <c r="W91" s="445"/>
    </row>
    <row r="92" spans="1:23" s="136" customFormat="1" ht="28.5" x14ac:dyDescent="0.2">
      <c r="A92" s="139" t="s">
        <v>233</v>
      </c>
      <c r="B92" s="140" t="s">
        <v>284</v>
      </c>
      <c r="C92" s="140" t="s">
        <v>285</v>
      </c>
      <c r="D92" s="141">
        <f t="shared" si="104"/>
        <v>306</v>
      </c>
      <c r="E92" s="142">
        <f t="shared" si="105"/>
        <v>81</v>
      </c>
      <c r="F92" s="143">
        <f t="shared" si="106"/>
        <v>0.26470588235294118</v>
      </c>
      <c r="G92" s="144">
        <f t="shared" si="107"/>
        <v>19</v>
      </c>
      <c r="H92" s="143">
        <f t="shared" si="108"/>
        <v>6.2091503267973858E-2</v>
      </c>
      <c r="I92" s="142">
        <f t="shared" si="109"/>
        <v>0</v>
      </c>
      <c r="J92" s="143">
        <f t="shared" si="110"/>
        <v>0</v>
      </c>
      <c r="K92" s="144">
        <f t="shared" si="111"/>
        <v>0</v>
      </c>
      <c r="L92" s="143">
        <f t="shared" si="112"/>
        <v>0</v>
      </c>
      <c r="N92" s="1006"/>
      <c r="O92" s="1006"/>
      <c r="P92" s="161" t="s">
        <v>647</v>
      </c>
      <c r="Q92" s="161" t="s">
        <v>649</v>
      </c>
      <c r="R92" s="164">
        <f>E91</f>
        <v>376</v>
      </c>
      <c r="S92" s="164">
        <f>I91</f>
        <v>362</v>
      </c>
      <c r="T92" s="217">
        <f>G91</f>
        <v>72</v>
      </c>
      <c r="U92" s="217">
        <f>K91</f>
        <v>86</v>
      </c>
      <c r="V92" s="445"/>
      <c r="W92" s="445"/>
    </row>
    <row r="93" spans="1:23" s="136" customFormat="1" ht="19" x14ac:dyDescent="0.2">
      <c r="A93" s="139" t="s">
        <v>250</v>
      </c>
      <c r="B93" s="140" t="s">
        <v>284</v>
      </c>
      <c r="C93" s="140" t="s">
        <v>287</v>
      </c>
      <c r="D93" s="141">
        <f t="shared" si="104"/>
        <v>156</v>
      </c>
      <c r="E93" s="142">
        <f t="shared" si="105"/>
        <v>0</v>
      </c>
      <c r="F93" s="143">
        <f t="shared" si="106"/>
        <v>0</v>
      </c>
      <c r="G93" s="144">
        <f t="shared" si="107"/>
        <v>0</v>
      </c>
      <c r="H93" s="143">
        <f t="shared" si="108"/>
        <v>0</v>
      </c>
      <c r="I93" s="142">
        <f t="shared" si="109"/>
        <v>0</v>
      </c>
      <c r="J93" s="143">
        <f t="shared" si="110"/>
        <v>0</v>
      </c>
      <c r="K93" s="144">
        <f t="shared" si="111"/>
        <v>0</v>
      </c>
      <c r="L93" s="143">
        <f t="shared" si="112"/>
        <v>0</v>
      </c>
      <c r="N93" s="161" t="s">
        <v>286</v>
      </c>
      <c r="O93" s="161" t="s">
        <v>233</v>
      </c>
      <c r="P93" s="161" t="s">
        <v>445</v>
      </c>
      <c r="Q93" s="161" t="s">
        <v>476</v>
      </c>
      <c r="R93" s="164">
        <f>E92</f>
        <v>81</v>
      </c>
      <c r="S93" s="164">
        <f>I92</f>
        <v>0</v>
      </c>
      <c r="T93" s="217">
        <f>G92</f>
        <v>19</v>
      </c>
      <c r="U93" s="217">
        <f>K92</f>
        <v>0</v>
      </c>
      <c r="V93" s="445"/>
      <c r="W93" s="445"/>
    </row>
    <row r="94" spans="1:23" s="136" customFormat="1" ht="28.5" x14ac:dyDescent="0.2">
      <c r="A94" s="139" t="s">
        <v>246</v>
      </c>
      <c r="B94" s="140" t="s">
        <v>284</v>
      </c>
      <c r="C94" s="140" t="s">
        <v>288</v>
      </c>
      <c r="D94" s="141">
        <f t="shared" si="104"/>
        <v>157</v>
      </c>
      <c r="E94" s="142">
        <f t="shared" si="105"/>
        <v>70</v>
      </c>
      <c r="F94" s="143">
        <f t="shared" si="106"/>
        <v>0.44585987261146498</v>
      </c>
      <c r="G94" s="144">
        <f t="shared" si="107"/>
        <v>0</v>
      </c>
      <c r="H94" s="143">
        <f t="shared" si="108"/>
        <v>0</v>
      </c>
      <c r="I94" s="142">
        <f t="shared" si="109"/>
        <v>0</v>
      </c>
      <c r="J94" s="143">
        <f t="shared" si="110"/>
        <v>0</v>
      </c>
      <c r="K94" s="144">
        <f t="shared" si="111"/>
        <v>0</v>
      </c>
      <c r="L94" s="143">
        <f t="shared" si="112"/>
        <v>0</v>
      </c>
      <c r="N94" s="140" t="s">
        <v>286</v>
      </c>
      <c r="O94" s="140" t="s">
        <v>250</v>
      </c>
      <c r="P94" s="161" t="s">
        <v>473</v>
      </c>
      <c r="Q94" s="161" t="s">
        <v>477</v>
      </c>
      <c r="R94" s="164">
        <f>E93</f>
        <v>0</v>
      </c>
      <c r="S94" s="164">
        <f>I93</f>
        <v>0</v>
      </c>
      <c r="T94" s="217">
        <f>G93</f>
        <v>0</v>
      </c>
      <c r="U94" s="217">
        <f>K93</f>
        <v>0</v>
      </c>
      <c r="V94" s="445"/>
      <c r="W94" s="445"/>
    </row>
    <row r="95" spans="1:23" s="136" customFormat="1" ht="19" x14ac:dyDescent="0.2">
      <c r="A95" s="139" t="s">
        <v>251</v>
      </c>
      <c r="B95" s="140" t="s">
        <v>284</v>
      </c>
      <c r="C95" s="140" t="s">
        <v>269</v>
      </c>
      <c r="D95" s="141">
        <f t="shared" si="104"/>
        <v>261</v>
      </c>
      <c r="E95" s="142">
        <f t="shared" si="105"/>
        <v>203</v>
      </c>
      <c r="F95" s="143">
        <f t="shared" si="106"/>
        <v>0.77777777777777779</v>
      </c>
      <c r="G95" s="144">
        <f t="shared" si="107"/>
        <v>0</v>
      </c>
      <c r="H95" s="143">
        <f t="shared" si="108"/>
        <v>0</v>
      </c>
      <c r="I95" s="142">
        <f t="shared" si="109"/>
        <v>203</v>
      </c>
      <c r="J95" s="143">
        <f t="shared" si="110"/>
        <v>0.77777777777777779</v>
      </c>
      <c r="K95" s="144">
        <f t="shared" si="111"/>
        <v>0</v>
      </c>
      <c r="L95" s="143">
        <f t="shared" si="112"/>
        <v>0</v>
      </c>
      <c r="N95" s="140" t="s">
        <v>286</v>
      </c>
      <c r="O95" s="140" t="s">
        <v>246</v>
      </c>
      <c r="P95" s="161" t="s">
        <v>449</v>
      </c>
      <c r="Q95" s="161" t="s">
        <v>474</v>
      </c>
      <c r="R95" s="164">
        <f>E94</f>
        <v>70</v>
      </c>
      <c r="S95" s="164">
        <f>I94</f>
        <v>0</v>
      </c>
      <c r="T95" s="217">
        <f>G94</f>
        <v>0</v>
      </c>
      <c r="U95" s="217">
        <f>K94</f>
        <v>0</v>
      </c>
      <c r="V95" s="445"/>
      <c r="W95" s="445"/>
    </row>
    <row r="96" spans="1:23" s="136" customFormat="1" ht="28.5" x14ac:dyDescent="0.2">
      <c r="A96" s="139" t="s">
        <v>241</v>
      </c>
      <c r="B96" s="140" t="s">
        <v>284</v>
      </c>
      <c r="C96" s="140" t="s">
        <v>269</v>
      </c>
      <c r="D96" s="141">
        <f t="shared" si="104"/>
        <v>88</v>
      </c>
      <c r="E96" s="142">
        <f t="shared" si="105"/>
        <v>83</v>
      </c>
      <c r="F96" s="143">
        <f t="shared" si="106"/>
        <v>0.94318181818181823</v>
      </c>
      <c r="G96" s="144">
        <f t="shared" si="107"/>
        <v>0</v>
      </c>
      <c r="H96" s="143">
        <f t="shared" si="108"/>
        <v>0</v>
      </c>
      <c r="I96" s="142">
        <f t="shared" si="109"/>
        <v>74</v>
      </c>
      <c r="J96" s="143">
        <f t="shared" si="110"/>
        <v>0.84090909090909094</v>
      </c>
      <c r="K96" s="144">
        <f t="shared" si="111"/>
        <v>0</v>
      </c>
      <c r="L96" s="143">
        <f t="shared" si="112"/>
        <v>0</v>
      </c>
      <c r="N96" s="163" t="s">
        <v>289</v>
      </c>
      <c r="O96" s="161" t="s">
        <v>290</v>
      </c>
      <c r="P96" s="161" t="s">
        <v>444</v>
      </c>
      <c r="Q96" s="161" t="s">
        <v>478</v>
      </c>
      <c r="R96" s="164">
        <f>E97+E98</f>
        <v>108</v>
      </c>
      <c r="S96" s="164">
        <f>I97+I98</f>
        <v>0</v>
      </c>
      <c r="T96" s="217">
        <f>G97+G98</f>
        <v>2</v>
      </c>
      <c r="U96" s="217">
        <f>K97+K98</f>
        <v>0</v>
      </c>
      <c r="V96" s="445"/>
      <c r="W96" s="445"/>
    </row>
    <row r="97" spans="1:23" s="136" customFormat="1" ht="19" x14ac:dyDescent="0.2">
      <c r="A97" s="139" t="s">
        <v>234</v>
      </c>
      <c r="B97" s="1010" t="s">
        <v>291</v>
      </c>
      <c r="C97" s="140" t="s">
        <v>292</v>
      </c>
      <c r="D97" s="141">
        <f t="shared" si="104"/>
        <v>72</v>
      </c>
      <c r="E97" s="142">
        <f t="shared" si="105"/>
        <v>7</v>
      </c>
      <c r="F97" s="143">
        <f t="shared" si="106"/>
        <v>9.7222222222222224E-2</v>
      </c>
      <c r="G97" s="144">
        <f t="shared" si="107"/>
        <v>0</v>
      </c>
      <c r="H97" s="143">
        <f t="shared" si="108"/>
        <v>0</v>
      </c>
      <c r="I97" s="142">
        <f t="shared" si="109"/>
        <v>0</v>
      </c>
      <c r="J97" s="143">
        <f t="shared" si="110"/>
        <v>0</v>
      </c>
      <c r="K97" s="144">
        <f t="shared" si="111"/>
        <v>0</v>
      </c>
      <c r="L97" s="143">
        <f t="shared" si="112"/>
        <v>0</v>
      </c>
      <c r="N97" s="161" t="s">
        <v>286</v>
      </c>
      <c r="O97" s="161" t="s">
        <v>251</v>
      </c>
      <c r="P97" s="161" t="s">
        <v>446</v>
      </c>
      <c r="Q97" s="161" t="s">
        <v>471</v>
      </c>
      <c r="R97" s="164">
        <f>E95</f>
        <v>203</v>
      </c>
      <c r="S97" s="164">
        <f>I95</f>
        <v>203</v>
      </c>
      <c r="T97" s="217">
        <f>G95</f>
        <v>0</v>
      </c>
      <c r="U97" s="217">
        <f>K95</f>
        <v>0</v>
      </c>
      <c r="V97" s="445"/>
      <c r="W97" s="445"/>
    </row>
    <row r="98" spans="1:23" s="136" customFormat="1" ht="19" x14ac:dyDescent="0.2">
      <c r="A98" s="139" t="s">
        <v>254</v>
      </c>
      <c r="B98" s="1012"/>
      <c r="C98" s="140" t="s">
        <v>292</v>
      </c>
      <c r="D98" s="141">
        <f t="shared" si="104"/>
        <v>156</v>
      </c>
      <c r="E98" s="142">
        <f t="shared" si="105"/>
        <v>101</v>
      </c>
      <c r="F98" s="143">
        <f t="shared" si="106"/>
        <v>0.64743589743589747</v>
      </c>
      <c r="G98" s="144">
        <f t="shared" si="107"/>
        <v>2</v>
      </c>
      <c r="H98" s="143">
        <f t="shared" si="108"/>
        <v>1.282051282051282E-2</v>
      </c>
      <c r="I98" s="142">
        <f t="shared" si="109"/>
        <v>0</v>
      </c>
      <c r="J98" s="143">
        <f t="shared" si="110"/>
        <v>0</v>
      </c>
      <c r="K98" s="144">
        <f t="shared" si="111"/>
        <v>0</v>
      </c>
      <c r="L98" s="143">
        <f t="shared" si="112"/>
        <v>0</v>
      </c>
      <c r="N98" s="161" t="s">
        <v>286</v>
      </c>
      <c r="O98" s="161" t="s">
        <v>293</v>
      </c>
      <c r="P98" s="161" t="s">
        <v>447</v>
      </c>
      <c r="Q98" s="161" t="s">
        <v>472</v>
      </c>
      <c r="R98" s="164">
        <f>E96</f>
        <v>83</v>
      </c>
      <c r="S98" s="164">
        <f>I96</f>
        <v>74</v>
      </c>
      <c r="T98" s="217">
        <f>G96</f>
        <v>0</v>
      </c>
      <c r="U98" s="217">
        <f>K96</f>
        <v>0</v>
      </c>
      <c r="V98" s="445"/>
      <c r="W98" s="445"/>
    </row>
    <row r="99" spans="1:23" s="136" customFormat="1" ht="19" x14ac:dyDescent="0.2">
      <c r="A99" s="139" t="s">
        <v>238</v>
      </c>
      <c r="B99" s="148" t="s">
        <v>284</v>
      </c>
      <c r="C99" s="140" t="s">
        <v>475</v>
      </c>
      <c r="D99" s="141">
        <f t="shared" si="104"/>
        <v>91</v>
      </c>
      <c r="E99" s="142">
        <f t="shared" si="105"/>
        <v>0</v>
      </c>
      <c r="F99" s="143">
        <f t="shared" si="106"/>
        <v>0</v>
      </c>
      <c r="G99" s="144">
        <f t="shared" si="107"/>
        <v>0</v>
      </c>
      <c r="H99" s="143">
        <f t="shared" si="108"/>
        <v>0</v>
      </c>
      <c r="I99" s="142">
        <f t="shared" si="109"/>
        <v>0</v>
      </c>
      <c r="J99" s="143">
        <f t="shared" si="110"/>
        <v>0</v>
      </c>
      <c r="K99" s="144">
        <f t="shared" si="111"/>
        <v>0</v>
      </c>
      <c r="L99" s="143">
        <f t="shared" si="112"/>
        <v>0</v>
      </c>
      <c r="N99" s="161" t="s">
        <v>286</v>
      </c>
      <c r="O99" s="161" t="s">
        <v>252</v>
      </c>
      <c r="P99" s="161" t="s">
        <v>479</v>
      </c>
      <c r="Q99" s="161" t="s">
        <v>474</v>
      </c>
      <c r="R99" s="164">
        <f>E100</f>
        <v>0</v>
      </c>
      <c r="S99" s="164">
        <f>I100</f>
        <v>0</v>
      </c>
      <c r="T99" s="217">
        <f>G100</f>
        <v>0</v>
      </c>
      <c r="U99" s="217">
        <f>K100</f>
        <v>0</v>
      </c>
      <c r="V99" s="445"/>
      <c r="W99" s="445"/>
    </row>
    <row r="100" spans="1:23" s="136" customFormat="1" ht="9.5" x14ac:dyDescent="0.2">
      <c r="A100" s="139" t="s">
        <v>252</v>
      </c>
      <c r="B100" s="140" t="s">
        <v>284</v>
      </c>
      <c r="C100" s="140" t="s">
        <v>294</v>
      </c>
      <c r="D100" s="141">
        <f t="shared" si="104"/>
        <v>215</v>
      </c>
      <c r="E100" s="142">
        <f t="shared" si="105"/>
        <v>0</v>
      </c>
      <c r="F100" s="143">
        <f t="shared" si="106"/>
        <v>0</v>
      </c>
      <c r="G100" s="144">
        <f t="shared" si="107"/>
        <v>0</v>
      </c>
      <c r="H100" s="143">
        <f t="shared" si="108"/>
        <v>0</v>
      </c>
      <c r="I100" s="142">
        <f t="shared" si="109"/>
        <v>0</v>
      </c>
      <c r="J100" s="143">
        <f t="shared" si="110"/>
        <v>0</v>
      </c>
      <c r="K100" s="144">
        <f t="shared" si="111"/>
        <v>0</v>
      </c>
      <c r="L100" s="143">
        <f t="shared" si="112"/>
        <v>0</v>
      </c>
      <c r="O100" s="149"/>
      <c r="P100" s="150"/>
      <c r="Q100" s="188" t="s">
        <v>12</v>
      </c>
      <c r="R100" s="166">
        <f>SUM(R81:R99)</f>
        <v>8738</v>
      </c>
      <c r="S100" s="166">
        <f>SUM(S81:S99)</f>
        <v>8110</v>
      </c>
    </row>
    <row r="101" spans="1:23" s="136" customFormat="1" ht="9.5" x14ac:dyDescent="0.2">
      <c r="A101" s="139" t="s">
        <v>12</v>
      </c>
      <c r="B101" s="140"/>
      <c r="C101" s="140"/>
      <c r="D101" s="151">
        <f>SUM(D81:D100)</f>
        <v>14012</v>
      </c>
      <c r="E101" s="152">
        <f>SUM(E81:E100)</f>
        <v>8738</v>
      </c>
      <c r="F101" s="153">
        <f t="shared" si="106"/>
        <v>0.62360833571224661</v>
      </c>
      <c r="G101" s="151">
        <f>SUM(G81:G100)</f>
        <v>3592</v>
      </c>
      <c r="H101" s="153">
        <f t="shared" si="108"/>
        <v>0.25635169854410506</v>
      </c>
      <c r="I101" s="152">
        <f>SUM(I81:I100)</f>
        <v>8110</v>
      </c>
      <c r="J101" s="153">
        <f t="shared" si="110"/>
        <v>0.57878960890665143</v>
      </c>
      <c r="K101" s="151">
        <f>SUM(K81:K100)</f>
        <v>3787</v>
      </c>
      <c r="L101" s="153">
        <f t="shared" si="112"/>
        <v>0.27026834142163858</v>
      </c>
      <c r="O101" s="149"/>
      <c r="P101" s="150"/>
      <c r="Q101" s="188" t="s">
        <v>489</v>
      </c>
      <c r="R101" s="187">
        <f>R100-R86-R95</f>
        <v>8508</v>
      </c>
      <c r="S101" s="187">
        <f>S100-S86-S95</f>
        <v>8110</v>
      </c>
    </row>
    <row r="102" spans="1:23" x14ac:dyDescent="0.35">
      <c r="N102" s="136"/>
      <c r="O102" s="136"/>
      <c r="P102" s="136"/>
      <c r="Q102" s="189" t="s">
        <v>490</v>
      </c>
      <c r="R102" s="187">
        <f>R86</f>
        <v>160</v>
      </c>
      <c r="S102" s="136"/>
      <c r="T102" s="136"/>
      <c r="U102" s="136"/>
    </row>
    <row r="103" spans="1:23" x14ac:dyDescent="0.35">
      <c r="Q103" s="189" t="s">
        <v>491</v>
      </c>
      <c r="R103" s="187">
        <f>R95</f>
        <v>70</v>
      </c>
    </row>
    <row r="104" spans="1:23" x14ac:dyDescent="0.35">
      <c r="R104" s="150" t="str">
        <f>IF(R100=E101,"ok","viga")</f>
        <v>ok</v>
      </c>
      <c r="S104" s="150" t="str">
        <f>IF(S100=I101,"ok","viga")</f>
        <v>ok</v>
      </c>
    </row>
  </sheetData>
  <mergeCells count="40">
    <mergeCell ref="B97:B98"/>
    <mergeCell ref="N50:O50"/>
    <mergeCell ref="P50:P51"/>
    <mergeCell ref="P87:P89"/>
    <mergeCell ref="I78:L78"/>
    <mergeCell ref="N81:N82"/>
    <mergeCell ref="P81:P82"/>
    <mergeCell ref="N84:N89"/>
    <mergeCell ref="P84:P85"/>
    <mergeCell ref="E79:F79"/>
    <mergeCell ref="G79:H79"/>
    <mergeCell ref="I79:J79"/>
    <mergeCell ref="K79:L79"/>
    <mergeCell ref="F50:F51"/>
    <mergeCell ref="G62:G63"/>
    <mergeCell ref="D78:D80"/>
    <mergeCell ref="G50:G51"/>
    <mergeCell ref="H50:I50"/>
    <mergeCell ref="J50:K50"/>
    <mergeCell ref="L50:M50"/>
    <mergeCell ref="Q50:R50"/>
    <mergeCell ref="W50:W51"/>
    <mergeCell ref="X50:Y50"/>
    <mergeCell ref="Z50:AA50"/>
    <mergeCell ref="Q81:Q82"/>
    <mergeCell ref="Q84:Q89"/>
    <mergeCell ref="S85:S86"/>
    <mergeCell ref="U85:U86"/>
    <mergeCell ref="S50:T50"/>
    <mergeCell ref="V79:W79"/>
    <mergeCell ref="U50:V50"/>
    <mergeCell ref="A78:A80"/>
    <mergeCell ref="N91:N92"/>
    <mergeCell ref="O91:O92"/>
    <mergeCell ref="R79:S79"/>
    <mergeCell ref="P79:Q79"/>
    <mergeCell ref="O79:O80"/>
    <mergeCell ref="N79:N80"/>
    <mergeCell ref="E78:H78"/>
    <mergeCell ref="B85:B90"/>
  </mergeCells>
  <conditionalFormatting sqref="A1:XFD48 A49:AA49 AB49:XFD74 A50:U50 W50:AA50 A51:AA74 A75:XFD77 A78:E78 I78 M78 O78:XFD78 E79:P79 R79 T79:V79 B79:C80 X79:XFD80 E80:M80 V80:W80 P80:Q84 R80:U85 A81:O91 V81:XFD1048576 R86 T86 P86:P87 R87:S98 T87:U99 P90:Q98 A92:M92 A93:O98 N99:S99 A99:M1048576 O100:S100 O101:U103 N104:U1048576">
    <cfRule type="cellIs" dxfId="162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27A4-22D7-4D78-8DDE-4CBFC96D197A}">
  <dimension ref="A1:AW410"/>
  <sheetViews>
    <sheetView topLeftCell="E1" zoomScale="115" zoomScaleNormal="115" workbookViewId="0">
      <pane ySplit="2" topLeftCell="A3" activePane="bottomLeft" state="frozen"/>
      <selection pane="bottomLeft" activeCell="J3" sqref="J3:M3"/>
    </sheetView>
  </sheetViews>
  <sheetFormatPr defaultColWidth="8.90625" defaultRowHeight="9.5" outlineLevelRow="1" outlineLevelCol="1" x14ac:dyDescent="0.35"/>
  <cols>
    <col min="1" max="1" width="9.1796875" style="370" customWidth="1" outlineLevel="1"/>
    <col min="2" max="2" width="7.36328125" style="370" customWidth="1" outlineLevel="1"/>
    <col min="3" max="3" width="8.453125" style="370" customWidth="1" outlineLevel="1"/>
    <col min="4" max="4" width="8.6328125" style="370" customWidth="1" outlineLevel="1"/>
    <col min="5" max="5" width="70.81640625" style="443" customWidth="1"/>
    <col min="6" max="6" width="8.90625" style="372" customWidth="1"/>
    <col min="7" max="7" width="8.90625" style="373" customWidth="1"/>
    <col min="8" max="8" width="12" style="374" hidden="1" customWidth="1" outlineLevel="1"/>
    <col min="9" max="9" width="16.36328125" style="374" customWidth="1" collapsed="1"/>
    <col min="10" max="10" width="18.6328125" style="374" bestFit="1" customWidth="1"/>
    <col min="11" max="13" width="17" style="618" customWidth="1" outlineLevel="1"/>
    <col min="14" max="14" width="5.90625" style="375" customWidth="1"/>
    <col min="15" max="15" width="11.6328125" style="390" customWidth="1" outlineLevel="1"/>
    <col min="16" max="16" width="9.81640625" style="375" customWidth="1" outlineLevel="1" collapsed="1"/>
    <col min="17" max="18" width="8.90625" style="375" customWidth="1" outlineLevel="1"/>
    <col min="19" max="19" width="10.54296875" style="375" customWidth="1" outlineLevel="1"/>
    <col min="20" max="27" width="8.90625" style="375" customWidth="1" outlineLevel="1"/>
    <col min="28" max="28" width="4.453125" style="375" customWidth="1"/>
    <col min="29" max="29" width="9.81640625" style="418" customWidth="1" outlineLevel="1" collapsed="1"/>
    <col min="30" max="31" width="8.90625" style="418" customWidth="1" outlineLevel="1"/>
    <col min="32" max="32" width="10.54296875" style="418" customWidth="1" outlineLevel="1"/>
    <col min="33" max="40" width="8.90625" style="418" customWidth="1" outlineLevel="1"/>
    <col min="41" max="41" width="29.36328125" style="375" customWidth="1"/>
    <col min="42" max="42" width="9.90625" style="375" bestFit="1" customWidth="1"/>
    <col min="43" max="43" width="8.90625" style="375"/>
    <col min="44" max="44" width="26.1796875" style="375" customWidth="1"/>
    <col min="45" max="16384" width="8.90625" style="375"/>
  </cols>
  <sheetData>
    <row r="1" spans="1:40" ht="15" x14ac:dyDescent="0.35">
      <c r="A1" s="369" t="s">
        <v>183</v>
      </c>
      <c r="E1" s="371" t="s">
        <v>579</v>
      </c>
      <c r="K1" s="624" t="s">
        <v>924</v>
      </c>
      <c r="L1" s="624" t="s">
        <v>925</v>
      </c>
      <c r="M1" s="624" t="s">
        <v>926</v>
      </c>
      <c r="N1" s="616" t="s">
        <v>7</v>
      </c>
      <c r="O1" s="369" t="s">
        <v>206</v>
      </c>
      <c r="P1" s="369" t="s">
        <v>207</v>
      </c>
      <c r="AC1" s="369" t="s">
        <v>927</v>
      </c>
    </row>
    <row r="2" spans="1:40" x14ac:dyDescent="0.35">
      <c r="A2" s="376" t="s">
        <v>8</v>
      </c>
      <c r="B2" s="376" t="s">
        <v>14</v>
      </c>
      <c r="C2" s="376" t="s">
        <v>13</v>
      </c>
      <c r="D2" s="376" t="s">
        <v>6</v>
      </c>
      <c r="E2" s="377" t="s">
        <v>0</v>
      </c>
      <c r="F2" s="378" t="s">
        <v>1</v>
      </c>
      <c r="G2" s="379" t="s">
        <v>2</v>
      </c>
      <c r="H2" s="380" t="s">
        <v>3</v>
      </c>
      <c r="I2" s="380" t="s">
        <v>4</v>
      </c>
      <c r="J2" s="609" t="s">
        <v>52</v>
      </c>
      <c r="K2" s="619"/>
      <c r="L2" s="619"/>
      <c r="M2" s="619"/>
      <c r="O2" s="381" t="s">
        <v>180</v>
      </c>
      <c r="P2" s="382">
        <v>2024</v>
      </c>
      <c r="Q2" s="382">
        <v>2025</v>
      </c>
      <c r="R2" s="382">
        <v>2026</v>
      </c>
      <c r="S2" s="382">
        <v>2027</v>
      </c>
      <c r="T2" s="383">
        <v>2028</v>
      </c>
      <c r="U2" s="383">
        <v>2029</v>
      </c>
      <c r="V2" s="383">
        <v>2030</v>
      </c>
      <c r="W2" s="383">
        <v>2031</v>
      </c>
      <c r="X2" s="383">
        <v>2032</v>
      </c>
      <c r="Y2" s="383">
        <v>2033</v>
      </c>
      <c r="Z2" s="383">
        <v>2034</v>
      </c>
      <c r="AA2" s="383">
        <v>2035</v>
      </c>
      <c r="AC2" s="630">
        <v>2024</v>
      </c>
      <c r="AD2" s="630">
        <v>2025</v>
      </c>
      <c r="AE2" s="630">
        <v>2026</v>
      </c>
      <c r="AF2" s="630">
        <v>2027</v>
      </c>
      <c r="AG2" s="631">
        <v>2028</v>
      </c>
      <c r="AH2" s="631">
        <v>2029</v>
      </c>
      <c r="AI2" s="631">
        <v>2030</v>
      </c>
      <c r="AJ2" s="631">
        <v>2031</v>
      </c>
      <c r="AK2" s="631">
        <v>2032</v>
      </c>
      <c r="AL2" s="631">
        <v>2033</v>
      </c>
      <c r="AM2" s="631">
        <v>2034</v>
      </c>
      <c r="AN2" s="631">
        <v>2035</v>
      </c>
    </row>
    <row r="3" spans="1:40" ht="15" x14ac:dyDescent="0.35">
      <c r="A3" s="522" t="s">
        <v>51</v>
      </c>
      <c r="B3" s="523">
        <f>Ühikhinnad!F1</f>
        <v>0.15</v>
      </c>
      <c r="C3" s="524">
        <f>B3+100%</f>
        <v>1.1499999999999999</v>
      </c>
      <c r="E3" s="718" t="s">
        <v>12</v>
      </c>
      <c r="F3" s="719"/>
      <c r="G3" s="720"/>
      <c r="H3" s="721"/>
      <c r="I3" s="722"/>
      <c r="J3" s="736">
        <f t="shared" ref="J3:M4" si="0">J13+J74+J93+J148+J172+J225+J268+J292+J315+J331+J366+J393</f>
        <v>11237636.25</v>
      </c>
      <c r="K3" s="723">
        <f t="shared" si="0"/>
        <v>8785481.5</v>
      </c>
      <c r="L3" s="723">
        <f t="shared" si="0"/>
        <v>1619523.75</v>
      </c>
      <c r="M3" s="723">
        <f t="shared" si="0"/>
        <v>832631</v>
      </c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1"/>
      <c r="AN3" s="521"/>
    </row>
    <row r="4" spans="1:40" ht="10" x14ac:dyDescent="0.35">
      <c r="A4" s="375"/>
      <c r="B4" s="375"/>
      <c r="C4" s="375"/>
      <c r="D4" s="375"/>
      <c r="E4" s="708" t="s">
        <v>581</v>
      </c>
      <c r="F4" s="709"/>
      <c r="G4" s="709"/>
      <c r="H4" s="710"/>
      <c r="I4" s="711"/>
      <c r="J4" s="724">
        <f t="shared" si="0"/>
        <v>4337118.75</v>
      </c>
      <c r="K4" s="725">
        <f t="shared" si="0"/>
        <v>2307060</v>
      </c>
      <c r="L4" s="725">
        <f t="shared" si="0"/>
        <v>1302951.75</v>
      </c>
      <c r="M4" s="725">
        <f t="shared" si="0"/>
        <v>727107</v>
      </c>
      <c r="N4" s="375" t="str">
        <f>IF(J4=J5+J6,"ok","viga")</f>
        <v>ok</v>
      </c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  <c r="AC4" s="521"/>
      <c r="AD4" s="521"/>
      <c r="AE4" s="521"/>
      <c r="AF4" s="521"/>
      <c r="AG4" s="521"/>
      <c r="AH4" s="521"/>
      <c r="AI4" s="521"/>
      <c r="AJ4" s="521"/>
      <c r="AK4" s="521"/>
      <c r="AL4" s="521"/>
      <c r="AM4" s="521"/>
      <c r="AN4" s="521"/>
    </row>
    <row r="5" spans="1:40" x14ac:dyDescent="0.35">
      <c r="A5" s="375"/>
      <c r="B5" s="375"/>
      <c r="C5" s="375"/>
      <c r="D5" s="375"/>
      <c r="E5" s="396" t="s">
        <v>582</v>
      </c>
      <c r="F5" s="397"/>
      <c r="G5" s="397"/>
      <c r="H5" s="398"/>
      <c r="I5" s="399"/>
      <c r="J5" s="706">
        <f>J16+J77+J96+J151+J175+J228+J271+J295+J318+J334+J369+J396</f>
        <v>1208922.5</v>
      </c>
      <c r="K5" s="704">
        <f>K16+K77+K96+K151+K175+K228+K271+K295+K318+K334+K369+K396</f>
        <v>586140</v>
      </c>
      <c r="L5" s="704">
        <f>L16+L77+L96+L151+L175+L228+L271+L295+L318+L334+L369+L396</f>
        <v>424074</v>
      </c>
      <c r="M5" s="704">
        <f>M16+M77+M96+M151+M175+M228+M271+M295+M318+M334+M369+M396</f>
        <v>198708.5</v>
      </c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C5" s="521"/>
      <c r="AD5" s="521"/>
      <c r="AE5" s="521"/>
      <c r="AF5" s="521"/>
      <c r="AG5" s="521"/>
      <c r="AH5" s="521"/>
      <c r="AI5" s="521"/>
      <c r="AJ5" s="521"/>
      <c r="AK5" s="521"/>
      <c r="AL5" s="521"/>
      <c r="AM5" s="521"/>
      <c r="AN5" s="521"/>
    </row>
    <row r="6" spans="1:40" x14ac:dyDescent="0.35">
      <c r="A6" s="375"/>
      <c r="B6" s="375"/>
      <c r="C6" s="375"/>
      <c r="D6" s="375"/>
      <c r="E6" s="410" t="s">
        <v>588</v>
      </c>
      <c r="F6" s="411"/>
      <c r="G6" s="411"/>
      <c r="H6" s="412"/>
      <c r="I6" s="413"/>
      <c r="J6" s="707">
        <f>J19+J82+J98+J153+J183+J230+J274+J297+J320+J336+J372+J400</f>
        <v>3128196.25</v>
      </c>
      <c r="K6" s="705">
        <f>K19+K82+K98+K153+K183+K230+K274+K297+K320+K336+K372+K400</f>
        <v>1720920</v>
      </c>
      <c r="L6" s="705">
        <f>L19+L82+L98+L153+L183+L230+L274+L297+L320+L336+L372+L400</f>
        <v>878877.75</v>
      </c>
      <c r="M6" s="705">
        <f>M19+M82+M98+M153+M183+M230+M274+M297+M320+M336+M372+M400</f>
        <v>528398.5</v>
      </c>
      <c r="O6" s="521"/>
      <c r="P6" s="521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</row>
    <row r="7" spans="1:40" ht="10" x14ac:dyDescent="0.35">
      <c r="A7" s="375"/>
      <c r="B7" s="375"/>
      <c r="C7" s="375"/>
      <c r="D7" s="375"/>
      <c r="E7" s="712" t="s">
        <v>594</v>
      </c>
      <c r="F7" s="713"/>
      <c r="G7" s="713"/>
      <c r="H7" s="714"/>
      <c r="I7" s="715"/>
      <c r="J7" s="716">
        <f>J28+J87+J103+J155+J194+J232+J276+J299+J322+J338+J381+J402</f>
        <v>6900517.5</v>
      </c>
      <c r="K7" s="717">
        <f>K28+K87+K103+K155+K194+K232+K276+K299+K322+K338+K381+K402</f>
        <v>6478421.5</v>
      </c>
      <c r="L7" s="717">
        <f>L28+L87+L103+L155+L194+L232+L276+L299+L322+L338+L381+L402</f>
        <v>316571.99999999994</v>
      </c>
      <c r="M7" s="717">
        <f>M28+M87+M103+M155+M194+M232+M276+M299+M322+M338+M381+M402</f>
        <v>105524</v>
      </c>
      <c r="N7" s="375" t="str">
        <f>IF(J7=J8+J9,"ok","viga")</f>
        <v>ok</v>
      </c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</row>
    <row r="8" spans="1:40" x14ac:dyDescent="0.35">
      <c r="A8" s="375"/>
      <c r="B8" s="375"/>
      <c r="C8" s="375"/>
      <c r="D8" s="375"/>
      <c r="E8" s="396" t="s">
        <v>582</v>
      </c>
      <c r="F8" s="397"/>
      <c r="G8" s="397"/>
      <c r="H8" s="398"/>
      <c r="I8" s="399"/>
      <c r="J8" s="706">
        <f>J30+J89+J105+J157+J196+J234+J278+J301+J324+J340+J383+J404</f>
        <v>1427437.5</v>
      </c>
      <c r="K8" s="704">
        <f>K30+K89+K105+K157+K196+K234+K278+K301+K324+K340+K383+K404</f>
        <v>1338243.5</v>
      </c>
      <c r="L8" s="704">
        <f>L30+L89+L105+L157+L196+L234+L278+L301+L324+L340+L383+L404</f>
        <v>66895.499999999985</v>
      </c>
      <c r="M8" s="704">
        <f>M30+M89+M105+M157+M196+M234+M278+M301+M324+M340+M383+M404</f>
        <v>22298.5</v>
      </c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</row>
    <row r="9" spans="1:40" x14ac:dyDescent="0.35">
      <c r="A9" s="375"/>
      <c r="B9" s="375"/>
      <c r="C9" s="375"/>
      <c r="D9" s="375"/>
      <c r="E9" s="410" t="s">
        <v>588</v>
      </c>
      <c r="F9" s="411"/>
      <c r="G9" s="411"/>
      <c r="H9" s="412"/>
      <c r="I9" s="413"/>
      <c r="J9" s="707">
        <f>J36+J91+J108+J164+J199+J236+J280+J303+J326+J344+J385+J406</f>
        <v>5473080</v>
      </c>
      <c r="K9" s="705">
        <f>K36+K91+K108+K164+K199+K236+K280+K303+K326+K344+K385+K406</f>
        <v>5140178</v>
      </c>
      <c r="L9" s="705">
        <f>L36+L91+L108+L164+L199+L236+L280+L303+L326+L344+L385+L406</f>
        <v>249676.49999999997</v>
      </c>
      <c r="M9" s="705">
        <f>M36+M91+M108+M164+M199+M236+M280+M303+M326+M344+M385+M406</f>
        <v>83225.5</v>
      </c>
      <c r="O9" s="521"/>
      <c r="P9" s="521"/>
      <c r="Q9" s="521"/>
      <c r="R9" s="521"/>
      <c r="S9" s="521"/>
      <c r="T9" s="521"/>
      <c r="U9" s="521"/>
      <c r="V9" s="521"/>
      <c r="W9" s="521"/>
      <c r="X9" s="521"/>
      <c r="Y9" s="521"/>
      <c r="Z9" s="521"/>
      <c r="AA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</row>
    <row r="10" spans="1:40" ht="10" x14ac:dyDescent="0.35">
      <c r="A10" s="375"/>
      <c r="B10" s="375"/>
      <c r="C10" s="375"/>
      <c r="D10" s="375"/>
      <c r="E10" s="481" t="s">
        <v>659</v>
      </c>
      <c r="F10" s="482"/>
      <c r="G10" s="482"/>
      <c r="H10" s="483"/>
      <c r="I10" s="484"/>
      <c r="J10" s="611">
        <f>J43+J116+J201+J238+J282+J305+J346+J387</f>
        <v>17635422.5</v>
      </c>
      <c r="K10" s="607"/>
      <c r="L10" s="607"/>
      <c r="M10" s="607"/>
      <c r="N10" s="375" t="str">
        <f>IF(J10=J11+J12,"ok","viga")</f>
        <v>ok</v>
      </c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</row>
    <row r="11" spans="1:40" x14ac:dyDescent="0.35">
      <c r="A11" s="375"/>
      <c r="B11" s="375"/>
      <c r="C11" s="375"/>
      <c r="D11" s="375"/>
      <c r="E11" s="396" t="s">
        <v>582</v>
      </c>
      <c r="F11" s="397"/>
      <c r="G11" s="397"/>
      <c r="H11" s="398"/>
      <c r="I11" s="399"/>
      <c r="J11" s="399">
        <f>J45+J118+J203+J240+J284+J307+J348+J389</f>
        <v>6609970</v>
      </c>
      <c r="K11" s="625"/>
      <c r="L11" s="625"/>
      <c r="M11" s="625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</row>
    <row r="12" spans="1:40" x14ac:dyDescent="0.35">
      <c r="A12" s="375"/>
      <c r="B12" s="375"/>
      <c r="C12" s="375"/>
      <c r="D12" s="375"/>
      <c r="E12" s="410" t="s">
        <v>588</v>
      </c>
      <c r="F12" s="411"/>
      <c r="G12" s="411"/>
      <c r="H12" s="412"/>
      <c r="I12" s="413"/>
      <c r="J12" s="413">
        <f>J55+J130+J212+J249+J287+J311+J353+J391</f>
        <v>11025452.5</v>
      </c>
      <c r="K12" s="625"/>
      <c r="L12" s="625"/>
      <c r="M12" s="625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</row>
    <row r="13" spans="1:40" ht="15.5" thickBot="1" x14ac:dyDescent="0.4">
      <c r="A13" s="375"/>
      <c r="B13" s="375"/>
      <c r="C13" s="375"/>
      <c r="D13" s="375"/>
      <c r="E13" s="384" t="s">
        <v>580</v>
      </c>
      <c r="F13" s="385"/>
      <c r="G13" s="386"/>
      <c r="H13" s="387"/>
      <c r="I13" s="388"/>
      <c r="J13" s="389">
        <f>J14+J28</f>
        <v>5073040</v>
      </c>
      <c r="K13" s="620">
        <f>K14+K28</f>
        <v>5040610</v>
      </c>
      <c r="L13" s="620">
        <f>L14+L28</f>
        <v>32429.999999999996</v>
      </c>
      <c r="M13" s="620">
        <f>M14+M28</f>
        <v>0</v>
      </c>
      <c r="N13" s="375" t="str">
        <f>IF(J13=K13+L13+M13,"OK","viga")</f>
        <v>OK</v>
      </c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</row>
    <row r="14" spans="1:40" ht="10.5" thickTop="1" x14ac:dyDescent="0.35">
      <c r="E14" s="391" t="s">
        <v>581</v>
      </c>
      <c r="F14" s="392"/>
      <c r="G14" s="392"/>
      <c r="H14" s="393"/>
      <c r="I14" s="394"/>
      <c r="J14" s="610">
        <f>J16+J19</f>
        <v>1063680</v>
      </c>
      <c r="K14" s="617">
        <f>K16+K19</f>
        <v>1031250</v>
      </c>
      <c r="L14" s="617">
        <f>L16+L19</f>
        <v>32429.999999999996</v>
      </c>
      <c r="M14" s="617">
        <f>M16+M19</f>
        <v>0</v>
      </c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</row>
    <row r="15" spans="1:40" x14ac:dyDescent="0.35">
      <c r="A15" s="376" t="s">
        <v>8</v>
      </c>
      <c r="B15" s="376" t="s">
        <v>14</v>
      </c>
      <c r="C15" s="376" t="s">
        <v>13</v>
      </c>
      <c r="D15" s="376" t="s">
        <v>6</v>
      </c>
      <c r="E15" s="377" t="s">
        <v>0</v>
      </c>
      <c r="F15" s="378" t="s">
        <v>1</v>
      </c>
      <c r="G15" s="379" t="s">
        <v>2</v>
      </c>
      <c r="H15" s="380" t="s">
        <v>3</v>
      </c>
      <c r="I15" s="380" t="s">
        <v>4</v>
      </c>
      <c r="J15" s="609" t="s">
        <v>52</v>
      </c>
      <c r="K15" s="623"/>
      <c r="L15" s="623"/>
      <c r="M15" s="623"/>
      <c r="N15" s="390"/>
      <c r="O15" s="395" t="s">
        <v>181</v>
      </c>
      <c r="P15" s="382">
        <v>2024</v>
      </c>
      <c r="Q15" s="382">
        <v>2025</v>
      </c>
      <c r="R15" s="382">
        <v>2026</v>
      </c>
      <c r="S15" s="382">
        <v>2027</v>
      </c>
      <c r="T15" s="383">
        <v>2028</v>
      </c>
      <c r="U15" s="383">
        <v>2029</v>
      </c>
      <c r="V15" s="383">
        <v>2030</v>
      </c>
      <c r="W15" s="383">
        <v>2031</v>
      </c>
      <c r="X15" s="383">
        <v>2032</v>
      </c>
      <c r="Y15" s="383">
        <v>2033</v>
      </c>
      <c r="Z15" s="383">
        <v>2034</v>
      </c>
      <c r="AA15" s="383">
        <v>2035</v>
      </c>
      <c r="AC15" s="382">
        <v>2024</v>
      </c>
      <c r="AD15" s="382">
        <v>2025</v>
      </c>
      <c r="AE15" s="382">
        <v>2026</v>
      </c>
      <c r="AF15" s="382">
        <v>2027</v>
      </c>
      <c r="AG15" s="383">
        <v>2028</v>
      </c>
      <c r="AH15" s="383">
        <v>2029</v>
      </c>
      <c r="AI15" s="383">
        <v>2030</v>
      </c>
      <c r="AJ15" s="383">
        <v>2031</v>
      </c>
      <c r="AK15" s="383">
        <v>2032</v>
      </c>
      <c r="AL15" s="383">
        <v>2033</v>
      </c>
      <c r="AM15" s="383">
        <v>2034</v>
      </c>
      <c r="AN15" s="383">
        <v>2035</v>
      </c>
    </row>
    <row r="16" spans="1:40" s="390" customFormat="1" x14ac:dyDescent="0.35">
      <c r="A16" s="370"/>
      <c r="B16" s="370"/>
      <c r="C16" s="370"/>
      <c r="D16" s="370"/>
      <c r="E16" s="396" t="s">
        <v>582</v>
      </c>
      <c r="F16" s="397"/>
      <c r="G16" s="397"/>
      <c r="H16" s="398"/>
      <c r="I16" s="399"/>
      <c r="J16" s="399">
        <f>SUM(J17:J18)</f>
        <v>53000</v>
      </c>
      <c r="K16" s="621">
        <f>SUM(K17:K18)</f>
        <v>53000</v>
      </c>
      <c r="L16" s="621">
        <f>SUM(L17:L18)</f>
        <v>0</v>
      </c>
      <c r="M16" s="621">
        <f>SUM(M17:M18)</f>
        <v>0</v>
      </c>
      <c r="N16" s="375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375"/>
      <c r="AC16" s="400"/>
      <c r="AD16" s="400"/>
      <c r="AE16" s="400"/>
      <c r="AF16" s="400"/>
      <c r="AG16" s="400"/>
      <c r="AH16" s="400"/>
      <c r="AI16" s="400"/>
      <c r="AJ16" s="400"/>
      <c r="AK16" s="400"/>
      <c r="AL16" s="400"/>
      <c r="AM16" s="400"/>
      <c r="AN16" s="400"/>
    </row>
    <row r="17" spans="1:40" x14ac:dyDescent="0.35">
      <c r="A17" s="401" t="s">
        <v>583</v>
      </c>
      <c r="B17" s="401" t="s">
        <v>15</v>
      </c>
      <c r="C17" s="401" t="s">
        <v>751</v>
      </c>
      <c r="D17" s="401" t="s">
        <v>545</v>
      </c>
      <c r="E17" s="161" t="s">
        <v>584</v>
      </c>
      <c r="F17" s="402" t="s">
        <v>585</v>
      </c>
      <c r="G17" s="403">
        <v>1</v>
      </c>
      <c r="H17" s="417">
        <v>20000</v>
      </c>
      <c r="I17" s="405">
        <f>G17*H17</f>
        <v>20000</v>
      </c>
      <c r="J17" s="612">
        <f>yld*I17</f>
        <v>23000</v>
      </c>
      <c r="K17" s="608">
        <f>J17-L17-M17</f>
        <v>23000</v>
      </c>
      <c r="L17" s="608"/>
      <c r="M17" s="608"/>
      <c r="N17" s="406"/>
      <c r="O17" s="407">
        <v>15</v>
      </c>
      <c r="P17" s="408"/>
      <c r="Q17" s="408">
        <f>$J17</f>
        <v>23000</v>
      </c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C17" s="632">
        <f>IFERROR(P17*$K17/$J17,0)</f>
        <v>0</v>
      </c>
      <c r="AD17" s="632">
        <f t="shared" ref="AD17:AN17" si="1">IFERROR(Q17*$K17/$J17,0)</f>
        <v>23000</v>
      </c>
      <c r="AE17" s="632">
        <f t="shared" si="1"/>
        <v>0</v>
      </c>
      <c r="AF17" s="632">
        <f t="shared" si="1"/>
        <v>0</v>
      </c>
      <c r="AG17" s="632">
        <f t="shared" si="1"/>
        <v>0</v>
      </c>
      <c r="AH17" s="632">
        <f t="shared" si="1"/>
        <v>0</v>
      </c>
      <c r="AI17" s="632">
        <f t="shared" si="1"/>
        <v>0</v>
      </c>
      <c r="AJ17" s="632">
        <f t="shared" si="1"/>
        <v>0</v>
      </c>
      <c r="AK17" s="632">
        <f t="shared" si="1"/>
        <v>0</v>
      </c>
      <c r="AL17" s="632">
        <f t="shared" si="1"/>
        <v>0</v>
      </c>
      <c r="AM17" s="632">
        <f t="shared" si="1"/>
        <v>0</v>
      </c>
      <c r="AN17" s="632">
        <f t="shared" si="1"/>
        <v>0</v>
      </c>
    </row>
    <row r="18" spans="1:40" x14ac:dyDescent="0.35">
      <c r="A18" s="401" t="s">
        <v>583</v>
      </c>
      <c r="B18" s="401" t="s">
        <v>15</v>
      </c>
      <c r="C18" s="401" t="s">
        <v>751</v>
      </c>
      <c r="D18" s="401" t="s">
        <v>545</v>
      </c>
      <c r="E18" s="161" t="s">
        <v>586</v>
      </c>
      <c r="F18" s="402" t="s">
        <v>585</v>
      </c>
      <c r="G18" s="494">
        <v>0.5</v>
      </c>
      <c r="H18" s="417">
        <v>60000</v>
      </c>
      <c r="I18" s="405">
        <f>G18*H18</f>
        <v>30000</v>
      </c>
      <c r="J18" s="613">
        <f>I18</f>
        <v>30000</v>
      </c>
      <c r="K18" s="608">
        <f t="shared" ref="K18" si="2">J18-L18-M18</f>
        <v>30000</v>
      </c>
      <c r="L18" s="608"/>
      <c r="M18" s="608"/>
      <c r="N18" s="418"/>
      <c r="O18" s="407">
        <v>15</v>
      </c>
      <c r="P18" s="408">
        <f>$J18</f>
        <v>30000</v>
      </c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C18" s="632">
        <f t="shared" ref="AC18" si="3">IFERROR(P18*$K18/$J18,0)</f>
        <v>30000</v>
      </c>
      <c r="AD18" s="632">
        <f t="shared" ref="AD18" si="4">IFERROR(Q18*$K18/$J18,0)</f>
        <v>0</v>
      </c>
      <c r="AE18" s="632">
        <f t="shared" ref="AE18" si="5">IFERROR(R18*$K18/$J18,0)</f>
        <v>0</v>
      </c>
      <c r="AF18" s="632">
        <f t="shared" ref="AF18" si="6">IFERROR(S18*$K18/$J18,0)</f>
        <v>0</v>
      </c>
      <c r="AG18" s="632">
        <f t="shared" ref="AG18" si="7">IFERROR(T18*$K18/$J18,0)</f>
        <v>0</v>
      </c>
      <c r="AH18" s="632">
        <f t="shared" ref="AH18" si="8">IFERROR(U18*$K18/$J18,0)</f>
        <v>0</v>
      </c>
      <c r="AI18" s="632">
        <f t="shared" ref="AI18" si="9">IFERROR(V18*$K18/$J18,0)</f>
        <v>0</v>
      </c>
      <c r="AJ18" s="632">
        <f t="shared" ref="AJ18" si="10">IFERROR(W18*$K18/$J18,0)</f>
        <v>0</v>
      </c>
      <c r="AK18" s="632">
        <f t="shared" ref="AK18" si="11">IFERROR(X18*$K18/$J18,0)</f>
        <v>0</v>
      </c>
      <c r="AL18" s="632">
        <f t="shared" ref="AL18" si="12">IFERROR(Y18*$K18/$J18,0)</f>
        <v>0</v>
      </c>
      <c r="AM18" s="632">
        <f t="shared" ref="AM18" si="13">IFERROR(Z18*$K18/$J18,0)</f>
        <v>0</v>
      </c>
      <c r="AN18" s="632">
        <f t="shared" ref="AN18" si="14">IFERROR(AA18*$K18/$J18,0)</f>
        <v>0</v>
      </c>
    </row>
    <row r="19" spans="1:40" s="416" customFormat="1" x14ac:dyDescent="0.35">
      <c r="A19" s="409"/>
      <c r="B19" s="409"/>
      <c r="C19" s="409"/>
      <c r="D19" s="409"/>
      <c r="E19" s="410" t="s">
        <v>588</v>
      </c>
      <c r="F19" s="411"/>
      <c r="G19" s="411"/>
      <c r="H19" s="412"/>
      <c r="I19" s="413"/>
      <c r="J19" s="413">
        <f>SUM(J20:J27)</f>
        <v>1010680</v>
      </c>
      <c r="K19" s="622">
        <f>SUM(K20:K27)</f>
        <v>978250</v>
      </c>
      <c r="L19" s="622">
        <f>SUM(L20:L27)</f>
        <v>32429.999999999996</v>
      </c>
      <c r="M19" s="622">
        <f>SUM(M20:M27)</f>
        <v>0</v>
      </c>
      <c r="N19" s="414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4"/>
      <c r="AC19" s="415"/>
      <c r="AD19" s="415"/>
      <c r="AE19" s="415"/>
      <c r="AF19" s="415"/>
      <c r="AG19" s="415"/>
      <c r="AH19" s="415"/>
      <c r="AI19" s="415"/>
      <c r="AJ19" s="415"/>
      <c r="AK19" s="415"/>
      <c r="AL19" s="415"/>
      <c r="AM19" s="415"/>
      <c r="AN19" s="415"/>
    </row>
    <row r="20" spans="1:40" x14ac:dyDescent="0.35">
      <c r="A20" s="401" t="s">
        <v>583</v>
      </c>
      <c r="B20" s="401" t="s">
        <v>17</v>
      </c>
      <c r="C20" s="401" t="s">
        <v>752</v>
      </c>
      <c r="D20" s="401" t="s">
        <v>545</v>
      </c>
      <c r="E20" s="140" t="s">
        <v>643</v>
      </c>
      <c r="F20" s="402" t="s">
        <v>585</v>
      </c>
      <c r="G20" s="403">
        <v>1</v>
      </c>
      <c r="H20" s="404">
        <v>540000</v>
      </c>
      <c r="I20" s="405">
        <f t="shared" ref="I20:I27" si="15">G20*H20</f>
        <v>540000</v>
      </c>
      <c r="J20" s="613">
        <f>I20</f>
        <v>540000</v>
      </c>
      <c r="K20" s="608">
        <f t="shared" ref="K20:K27" si="16">J20-L20-M20</f>
        <v>540000</v>
      </c>
      <c r="L20" s="608"/>
      <c r="M20" s="608"/>
      <c r="N20" s="441" t="s">
        <v>930</v>
      </c>
      <c r="O20" s="395">
        <v>15</v>
      </c>
      <c r="P20" s="408"/>
      <c r="Q20" s="419"/>
      <c r="R20" s="408">
        <f>$J20</f>
        <v>540000</v>
      </c>
      <c r="S20" s="419"/>
      <c r="T20" s="419"/>
      <c r="U20" s="419"/>
      <c r="V20" s="419"/>
      <c r="W20" s="419"/>
      <c r="X20" s="419"/>
      <c r="Y20" s="419"/>
      <c r="Z20" s="419"/>
      <c r="AA20" s="419"/>
      <c r="AC20" s="632">
        <f t="shared" ref="AC20:AC27" si="17">IFERROR(P20*$K20/$J20,0)</f>
        <v>0</v>
      </c>
      <c r="AD20" s="632">
        <f t="shared" ref="AD20:AD27" si="18">IFERROR(Q20*$K20/$J20,0)</f>
        <v>0</v>
      </c>
      <c r="AE20" s="632">
        <f t="shared" ref="AE20:AE27" si="19">IFERROR(R20*$K20/$J20,0)</f>
        <v>540000</v>
      </c>
      <c r="AF20" s="632">
        <f t="shared" ref="AF20:AF27" si="20">IFERROR(S20*$K20/$J20,0)</f>
        <v>0</v>
      </c>
      <c r="AG20" s="632">
        <f t="shared" ref="AG20:AG27" si="21">IFERROR(T20*$K20/$J20,0)</f>
        <v>0</v>
      </c>
      <c r="AH20" s="632">
        <f t="shared" ref="AH20:AH27" si="22">IFERROR(U20*$K20/$J20,0)</f>
        <v>0</v>
      </c>
      <c r="AI20" s="632">
        <f t="shared" ref="AI20:AI27" si="23">IFERROR(V20*$K20/$J20,0)</f>
        <v>0</v>
      </c>
      <c r="AJ20" s="632">
        <f t="shared" ref="AJ20:AJ27" si="24">IFERROR(W20*$K20/$J20,0)</f>
        <v>0</v>
      </c>
      <c r="AK20" s="632">
        <f t="shared" ref="AK20:AK27" si="25">IFERROR(X20*$K20/$J20,0)</f>
        <v>0</v>
      </c>
      <c r="AL20" s="632">
        <f t="shared" ref="AL20:AL27" si="26">IFERROR(Y20*$K20/$J20,0)</f>
        <v>0</v>
      </c>
      <c r="AM20" s="632">
        <f t="shared" ref="AM20:AM27" si="27">IFERROR(Z20*$K20/$J20,0)</f>
        <v>0</v>
      </c>
      <c r="AN20" s="632">
        <f t="shared" ref="AN20:AN27" si="28">IFERROR(AA20*$K20/$J20,0)</f>
        <v>0</v>
      </c>
    </row>
    <row r="21" spans="1:40" x14ac:dyDescent="0.35">
      <c r="A21" s="401" t="s">
        <v>583</v>
      </c>
      <c r="B21" s="401" t="s">
        <v>17</v>
      </c>
      <c r="C21" s="401" t="s">
        <v>752</v>
      </c>
      <c r="D21" s="401" t="s">
        <v>545</v>
      </c>
      <c r="E21" s="161" t="s">
        <v>586</v>
      </c>
      <c r="F21" s="402" t="s">
        <v>585</v>
      </c>
      <c r="G21" s="494">
        <v>0.5</v>
      </c>
      <c r="H21" s="417">
        <f>H18</f>
        <v>60000</v>
      </c>
      <c r="I21" s="405">
        <f t="shared" si="15"/>
        <v>30000</v>
      </c>
      <c r="J21" s="613">
        <f>I21</f>
        <v>30000</v>
      </c>
      <c r="K21" s="608">
        <f t="shared" si="16"/>
        <v>30000</v>
      </c>
      <c r="L21" s="608"/>
      <c r="M21" s="608"/>
      <c r="N21" s="418"/>
      <c r="O21" s="407">
        <v>15</v>
      </c>
      <c r="P21" s="408">
        <f>$J21</f>
        <v>30000</v>
      </c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C21" s="632">
        <f t="shared" si="17"/>
        <v>30000</v>
      </c>
      <c r="AD21" s="632">
        <f t="shared" si="18"/>
        <v>0</v>
      </c>
      <c r="AE21" s="632">
        <f t="shared" si="19"/>
        <v>0</v>
      </c>
      <c r="AF21" s="632">
        <f t="shared" si="20"/>
        <v>0</v>
      </c>
      <c r="AG21" s="632">
        <f t="shared" si="21"/>
        <v>0</v>
      </c>
      <c r="AH21" s="632">
        <f t="shared" si="22"/>
        <v>0</v>
      </c>
      <c r="AI21" s="632">
        <f t="shared" si="23"/>
        <v>0</v>
      </c>
      <c r="AJ21" s="632">
        <f t="shared" si="24"/>
        <v>0</v>
      </c>
      <c r="AK21" s="632">
        <f t="shared" si="25"/>
        <v>0</v>
      </c>
      <c r="AL21" s="632">
        <f t="shared" si="26"/>
        <v>0</v>
      </c>
      <c r="AM21" s="632">
        <f t="shared" si="27"/>
        <v>0</v>
      </c>
      <c r="AN21" s="632">
        <f t="shared" si="28"/>
        <v>0</v>
      </c>
    </row>
    <row r="22" spans="1:40" ht="19" x14ac:dyDescent="0.35">
      <c r="A22" s="401" t="s">
        <v>583</v>
      </c>
      <c r="B22" s="401" t="s">
        <v>17</v>
      </c>
      <c r="C22" s="401" t="s">
        <v>612</v>
      </c>
      <c r="D22" s="401" t="s">
        <v>545</v>
      </c>
      <c r="E22" s="140" t="s">
        <v>587</v>
      </c>
      <c r="F22" s="402" t="s">
        <v>585</v>
      </c>
      <c r="G22" s="518">
        <v>11</v>
      </c>
      <c r="H22" s="417">
        <f>MROUND(1.3*7000,500)</f>
        <v>9000</v>
      </c>
      <c r="I22" s="405">
        <f t="shared" si="15"/>
        <v>99000</v>
      </c>
      <c r="J22" s="612">
        <f t="shared" ref="J22:J27" si="29">yld*I22</f>
        <v>113849.99999999999</v>
      </c>
      <c r="K22" s="608">
        <f t="shared" si="16"/>
        <v>113849.99999999999</v>
      </c>
      <c r="L22" s="608"/>
      <c r="M22" s="608"/>
      <c r="N22" s="418" t="s">
        <v>928</v>
      </c>
      <c r="O22" s="395">
        <v>50</v>
      </c>
      <c r="P22" s="419">
        <f>$J22/4</f>
        <v>28462.499999999996</v>
      </c>
      <c r="Q22" s="419">
        <f>$J22/4</f>
        <v>28462.499999999996</v>
      </c>
      <c r="R22" s="419">
        <f>$J22/4</f>
        <v>28462.499999999996</v>
      </c>
      <c r="S22" s="419">
        <f>$J22/4</f>
        <v>28462.499999999996</v>
      </c>
      <c r="T22" s="419"/>
      <c r="U22" s="419"/>
      <c r="V22" s="419"/>
      <c r="W22" s="419"/>
      <c r="X22" s="419"/>
      <c r="Y22" s="419"/>
      <c r="Z22" s="419"/>
      <c r="AA22" s="419"/>
      <c r="AC22" s="632">
        <f t="shared" si="17"/>
        <v>28462.499999999996</v>
      </c>
      <c r="AD22" s="632">
        <f t="shared" si="18"/>
        <v>28462.499999999996</v>
      </c>
      <c r="AE22" s="632">
        <f t="shared" si="19"/>
        <v>28462.499999999996</v>
      </c>
      <c r="AF22" s="632">
        <f t="shared" si="20"/>
        <v>28462.499999999996</v>
      </c>
      <c r="AG22" s="632">
        <f t="shared" si="21"/>
        <v>0</v>
      </c>
      <c r="AH22" s="632">
        <f t="shared" si="22"/>
        <v>0</v>
      </c>
      <c r="AI22" s="632">
        <f t="shared" si="23"/>
        <v>0</v>
      </c>
      <c r="AJ22" s="632">
        <f t="shared" si="24"/>
        <v>0</v>
      </c>
      <c r="AK22" s="632">
        <f t="shared" si="25"/>
        <v>0</v>
      </c>
      <c r="AL22" s="632">
        <f t="shared" si="26"/>
        <v>0</v>
      </c>
      <c r="AM22" s="632">
        <f t="shared" si="27"/>
        <v>0</v>
      </c>
      <c r="AN22" s="632">
        <f t="shared" si="28"/>
        <v>0</v>
      </c>
    </row>
    <row r="23" spans="1:40" x14ac:dyDescent="0.35">
      <c r="A23" s="401" t="s">
        <v>583</v>
      </c>
      <c r="B23" s="401" t="s">
        <v>17</v>
      </c>
      <c r="C23" s="401" t="s">
        <v>753</v>
      </c>
      <c r="D23" s="401" t="s">
        <v>545</v>
      </c>
      <c r="E23" s="161" t="s">
        <v>589</v>
      </c>
      <c r="F23" s="402" t="s">
        <v>585</v>
      </c>
      <c r="G23" s="403">
        <v>1</v>
      </c>
      <c r="H23" s="417">
        <f>1.3*100000</f>
        <v>130000</v>
      </c>
      <c r="I23" s="405">
        <f t="shared" si="15"/>
        <v>130000</v>
      </c>
      <c r="J23" s="612">
        <f t="shared" si="29"/>
        <v>149500</v>
      </c>
      <c r="K23" s="608">
        <f t="shared" si="16"/>
        <v>149500</v>
      </c>
      <c r="L23" s="608"/>
      <c r="M23" s="608"/>
      <c r="N23" s="418"/>
      <c r="O23" s="395">
        <v>15</v>
      </c>
      <c r="P23" s="408">
        <f>$J23</f>
        <v>149500</v>
      </c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C23" s="632">
        <f t="shared" si="17"/>
        <v>149500</v>
      </c>
      <c r="AD23" s="632">
        <f t="shared" si="18"/>
        <v>0</v>
      </c>
      <c r="AE23" s="632">
        <f t="shared" si="19"/>
        <v>0</v>
      </c>
      <c r="AF23" s="632">
        <f t="shared" si="20"/>
        <v>0</v>
      </c>
      <c r="AG23" s="632">
        <f t="shared" si="21"/>
        <v>0</v>
      </c>
      <c r="AH23" s="632">
        <f t="shared" si="22"/>
        <v>0</v>
      </c>
      <c r="AI23" s="632">
        <f t="shared" si="23"/>
        <v>0</v>
      </c>
      <c r="AJ23" s="632">
        <f t="shared" si="24"/>
        <v>0</v>
      </c>
      <c r="AK23" s="632">
        <f t="shared" si="25"/>
        <v>0</v>
      </c>
      <c r="AL23" s="632">
        <f t="shared" si="26"/>
        <v>0</v>
      </c>
      <c r="AM23" s="632">
        <f t="shared" si="27"/>
        <v>0</v>
      </c>
      <c r="AN23" s="632">
        <f t="shared" si="28"/>
        <v>0</v>
      </c>
    </row>
    <row r="24" spans="1:40" x14ac:dyDescent="0.35">
      <c r="A24" s="401" t="s">
        <v>583</v>
      </c>
      <c r="B24" s="401" t="s">
        <v>17</v>
      </c>
      <c r="C24" s="401" t="s">
        <v>753</v>
      </c>
      <c r="D24" s="401" t="s">
        <v>545</v>
      </c>
      <c r="E24" s="161" t="s">
        <v>590</v>
      </c>
      <c r="F24" s="402" t="s">
        <v>585</v>
      </c>
      <c r="G24" s="403">
        <v>1</v>
      </c>
      <c r="H24" s="417">
        <f>1.3*20000</f>
        <v>26000</v>
      </c>
      <c r="I24" s="405">
        <f t="shared" si="15"/>
        <v>26000</v>
      </c>
      <c r="J24" s="612">
        <f t="shared" si="29"/>
        <v>29899.999999999996</v>
      </c>
      <c r="K24" s="608">
        <f t="shared" si="16"/>
        <v>29899.999999999996</v>
      </c>
      <c r="L24" s="608"/>
      <c r="M24" s="608"/>
      <c r="N24" s="418"/>
      <c r="O24" s="395">
        <v>15</v>
      </c>
      <c r="P24" s="408">
        <f>$J24</f>
        <v>29899.999999999996</v>
      </c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C24" s="632">
        <f t="shared" si="17"/>
        <v>29899.999999999996</v>
      </c>
      <c r="AD24" s="632">
        <f t="shared" si="18"/>
        <v>0</v>
      </c>
      <c r="AE24" s="632">
        <f t="shared" si="19"/>
        <v>0</v>
      </c>
      <c r="AF24" s="632">
        <f t="shared" si="20"/>
        <v>0</v>
      </c>
      <c r="AG24" s="632">
        <f t="shared" si="21"/>
        <v>0</v>
      </c>
      <c r="AH24" s="632">
        <f t="shared" si="22"/>
        <v>0</v>
      </c>
      <c r="AI24" s="632">
        <f t="shared" si="23"/>
        <v>0</v>
      </c>
      <c r="AJ24" s="632">
        <f t="shared" si="24"/>
        <v>0</v>
      </c>
      <c r="AK24" s="632">
        <f t="shared" si="25"/>
        <v>0</v>
      </c>
      <c r="AL24" s="632">
        <f t="shared" si="26"/>
        <v>0</v>
      </c>
      <c r="AM24" s="632">
        <f t="shared" si="27"/>
        <v>0</v>
      </c>
      <c r="AN24" s="632">
        <f t="shared" si="28"/>
        <v>0</v>
      </c>
    </row>
    <row r="25" spans="1:40" x14ac:dyDescent="0.35">
      <c r="A25" s="401" t="s">
        <v>583</v>
      </c>
      <c r="B25" s="401" t="s">
        <v>17</v>
      </c>
      <c r="C25" s="401" t="s">
        <v>753</v>
      </c>
      <c r="D25" s="401" t="s">
        <v>545</v>
      </c>
      <c r="E25" s="161" t="s">
        <v>591</v>
      </c>
      <c r="F25" s="402" t="s">
        <v>585</v>
      </c>
      <c r="G25" s="403">
        <v>1</v>
      </c>
      <c r="H25" s="404">
        <v>100000</v>
      </c>
      <c r="I25" s="405">
        <f t="shared" si="15"/>
        <v>100000</v>
      </c>
      <c r="J25" s="612">
        <f t="shared" si="29"/>
        <v>114999.99999999999</v>
      </c>
      <c r="K25" s="608">
        <f t="shared" si="16"/>
        <v>114999.99999999999</v>
      </c>
      <c r="L25" s="608"/>
      <c r="M25" s="608"/>
      <c r="N25" s="418"/>
      <c r="O25" s="395">
        <v>15</v>
      </c>
      <c r="P25" s="419"/>
      <c r="Q25" s="408">
        <f>$J25</f>
        <v>114999.99999999999</v>
      </c>
      <c r="R25" s="408"/>
      <c r="S25" s="419"/>
      <c r="T25" s="419"/>
      <c r="U25" s="419"/>
      <c r="V25" s="419"/>
      <c r="W25" s="419"/>
      <c r="X25" s="419"/>
      <c r="Y25" s="419"/>
      <c r="Z25" s="419"/>
      <c r="AA25" s="419"/>
      <c r="AC25" s="632">
        <f t="shared" si="17"/>
        <v>0</v>
      </c>
      <c r="AD25" s="632">
        <f t="shared" si="18"/>
        <v>114999.99999999999</v>
      </c>
      <c r="AE25" s="632">
        <f t="shared" si="19"/>
        <v>0</v>
      </c>
      <c r="AF25" s="632">
        <f t="shared" si="20"/>
        <v>0</v>
      </c>
      <c r="AG25" s="632">
        <f t="shared" si="21"/>
        <v>0</v>
      </c>
      <c r="AH25" s="632">
        <f t="shared" si="22"/>
        <v>0</v>
      </c>
      <c r="AI25" s="632">
        <f t="shared" si="23"/>
        <v>0</v>
      </c>
      <c r="AJ25" s="632">
        <f t="shared" si="24"/>
        <v>0</v>
      </c>
      <c r="AK25" s="632">
        <f t="shared" si="25"/>
        <v>0</v>
      </c>
      <c r="AL25" s="632">
        <f t="shared" si="26"/>
        <v>0</v>
      </c>
      <c r="AM25" s="632">
        <f t="shared" si="27"/>
        <v>0</v>
      </c>
      <c r="AN25" s="632">
        <f t="shared" si="28"/>
        <v>0</v>
      </c>
    </row>
    <row r="26" spans="1:40" x14ac:dyDescent="0.35">
      <c r="A26" s="401" t="s">
        <v>583</v>
      </c>
      <c r="B26" s="444" t="s">
        <v>17</v>
      </c>
      <c r="C26" s="444" t="s">
        <v>799</v>
      </c>
      <c r="D26" s="401" t="s">
        <v>545</v>
      </c>
      <c r="E26" s="161" t="s">
        <v>592</v>
      </c>
      <c r="F26" s="402" t="s">
        <v>585</v>
      </c>
      <c r="G26" s="403">
        <v>1</v>
      </c>
      <c r="H26" s="417">
        <f>1.3*5000</f>
        <v>6500</v>
      </c>
      <c r="I26" s="405">
        <f t="shared" si="15"/>
        <v>6500</v>
      </c>
      <c r="J26" s="612">
        <f t="shared" si="29"/>
        <v>7474.9999999999991</v>
      </c>
      <c r="K26" s="608">
        <f t="shared" si="16"/>
        <v>0</v>
      </c>
      <c r="L26" s="608">
        <f>J26</f>
        <v>7474.9999999999991</v>
      </c>
      <c r="M26" s="608"/>
      <c r="N26" s="418"/>
      <c r="O26" s="395">
        <v>15</v>
      </c>
      <c r="P26" s="419"/>
      <c r="Q26" s="419"/>
      <c r="R26" s="419"/>
      <c r="S26" s="408">
        <f>$J26</f>
        <v>7474.9999999999991</v>
      </c>
      <c r="T26" s="419"/>
      <c r="U26" s="419"/>
      <c r="V26" s="419"/>
      <c r="W26" s="419"/>
      <c r="X26" s="419"/>
      <c r="Y26" s="419"/>
      <c r="Z26" s="419"/>
      <c r="AA26" s="419"/>
      <c r="AC26" s="632">
        <f t="shared" si="17"/>
        <v>0</v>
      </c>
      <c r="AD26" s="632">
        <f t="shared" si="18"/>
        <v>0</v>
      </c>
      <c r="AE26" s="632">
        <f t="shared" si="19"/>
        <v>0</v>
      </c>
      <c r="AF26" s="632">
        <f t="shared" si="20"/>
        <v>0</v>
      </c>
      <c r="AG26" s="632">
        <f t="shared" si="21"/>
        <v>0</v>
      </c>
      <c r="AH26" s="632">
        <f t="shared" si="22"/>
        <v>0</v>
      </c>
      <c r="AI26" s="632">
        <f t="shared" si="23"/>
        <v>0</v>
      </c>
      <c r="AJ26" s="632">
        <f t="shared" si="24"/>
        <v>0</v>
      </c>
      <c r="AK26" s="632">
        <f t="shared" si="25"/>
        <v>0</v>
      </c>
      <c r="AL26" s="632">
        <f t="shared" si="26"/>
        <v>0</v>
      </c>
      <c r="AM26" s="632">
        <f t="shared" si="27"/>
        <v>0</v>
      </c>
      <c r="AN26" s="632">
        <f t="shared" si="28"/>
        <v>0</v>
      </c>
    </row>
    <row r="27" spans="1:40" x14ac:dyDescent="0.35">
      <c r="A27" s="401" t="s">
        <v>583</v>
      </c>
      <c r="B27" s="401" t="s">
        <v>18</v>
      </c>
      <c r="C27" s="444" t="s">
        <v>18</v>
      </c>
      <c r="D27" s="401" t="s">
        <v>545</v>
      </c>
      <c r="E27" s="161" t="s">
        <v>593</v>
      </c>
      <c r="F27" s="402" t="s">
        <v>585</v>
      </c>
      <c r="G27" s="403">
        <v>1</v>
      </c>
      <c r="H27" s="417">
        <f>MROUND(1.3*780*15+6500,100)</f>
        <v>21700</v>
      </c>
      <c r="I27" s="405">
        <f t="shared" si="15"/>
        <v>21700</v>
      </c>
      <c r="J27" s="612">
        <f t="shared" si="29"/>
        <v>24954.999999999996</v>
      </c>
      <c r="K27" s="608">
        <f t="shared" si="16"/>
        <v>0</v>
      </c>
      <c r="L27" s="608">
        <f>J27</f>
        <v>24954.999999999996</v>
      </c>
      <c r="M27" s="608"/>
      <c r="N27" s="418"/>
      <c r="O27" s="395">
        <v>15</v>
      </c>
      <c r="P27" s="408"/>
      <c r="Q27" s="419"/>
      <c r="R27" s="419"/>
      <c r="S27" s="408">
        <f>$J27</f>
        <v>24954.999999999996</v>
      </c>
      <c r="T27" s="419"/>
      <c r="U27" s="419"/>
      <c r="V27" s="419"/>
      <c r="W27" s="419"/>
      <c r="X27" s="419"/>
      <c r="Y27" s="419"/>
      <c r="Z27" s="419"/>
      <c r="AA27" s="419"/>
      <c r="AC27" s="632">
        <f t="shared" si="17"/>
        <v>0</v>
      </c>
      <c r="AD27" s="632">
        <f t="shared" si="18"/>
        <v>0</v>
      </c>
      <c r="AE27" s="632">
        <f t="shared" si="19"/>
        <v>0</v>
      </c>
      <c r="AF27" s="632">
        <f t="shared" si="20"/>
        <v>0</v>
      </c>
      <c r="AG27" s="632">
        <f t="shared" si="21"/>
        <v>0</v>
      </c>
      <c r="AH27" s="632">
        <f t="shared" si="22"/>
        <v>0</v>
      </c>
      <c r="AI27" s="632">
        <f t="shared" si="23"/>
        <v>0</v>
      </c>
      <c r="AJ27" s="632">
        <f t="shared" si="24"/>
        <v>0</v>
      </c>
      <c r="AK27" s="632">
        <f t="shared" si="25"/>
        <v>0</v>
      </c>
      <c r="AL27" s="632">
        <f t="shared" si="26"/>
        <v>0</v>
      </c>
      <c r="AM27" s="632">
        <f t="shared" si="27"/>
        <v>0</v>
      </c>
      <c r="AN27" s="632">
        <f t="shared" si="28"/>
        <v>0</v>
      </c>
    </row>
    <row r="28" spans="1:40" ht="10" x14ac:dyDescent="0.35">
      <c r="E28" s="420" t="s">
        <v>594</v>
      </c>
      <c r="F28" s="421"/>
      <c r="G28" s="421"/>
      <c r="H28" s="422"/>
      <c r="I28" s="423"/>
      <c r="J28" s="614">
        <f>J30+J36</f>
        <v>4009359.9999999995</v>
      </c>
      <c r="K28" s="617">
        <f t="shared" ref="K28:M28" si="30">K30+K36</f>
        <v>4009359.9999999995</v>
      </c>
      <c r="L28" s="617">
        <f t="shared" si="30"/>
        <v>0</v>
      </c>
      <c r="M28" s="617">
        <f t="shared" si="30"/>
        <v>0</v>
      </c>
      <c r="O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5"/>
    </row>
    <row r="29" spans="1:40" x14ac:dyDescent="0.35">
      <c r="A29" s="376" t="s">
        <v>8</v>
      </c>
      <c r="B29" s="376" t="s">
        <v>14</v>
      </c>
      <c r="C29" s="376" t="s">
        <v>13</v>
      </c>
      <c r="D29" s="376" t="s">
        <v>6</v>
      </c>
      <c r="E29" s="377" t="s">
        <v>0</v>
      </c>
      <c r="F29" s="378" t="s">
        <v>1</v>
      </c>
      <c r="G29" s="379" t="s">
        <v>2</v>
      </c>
      <c r="H29" s="380" t="s">
        <v>3</v>
      </c>
      <c r="I29" s="380" t="s">
        <v>4</v>
      </c>
      <c r="J29" s="609" t="s">
        <v>52</v>
      </c>
      <c r="K29" s="623"/>
      <c r="L29" s="627"/>
      <c r="M29" s="623"/>
      <c r="N29" s="390"/>
      <c r="O29" s="395" t="s">
        <v>181</v>
      </c>
      <c r="P29" s="382">
        <v>2024</v>
      </c>
      <c r="Q29" s="382">
        <v>2025</v>
      </c>
      <c r="R29" s="382">
        <v>2026</v>
      </c>
      <c r="S29" s="382">
        <v>2027</v>
      </c>
      <c r="T29" s="383">
        <v>2028</v>
      </c>
      <c r="U29" s="383">
        <v>2029</v>
      </c>
      <c r="V29" s="383">
        <v>2030</v>
      </c>
      <c r="W29" s="383">
        <v>2031</v>
      </c>
      <c r="X29" s="383">
        <v>2032</v>
      </c>
      <c r="Y29" s="383">
        <v>2033</v>
      </c>
      <c r="Z29" s="383">
        <v>2034</v>
      </c>
      <c r="AA29" s="383">
        <v>2035</v>
      </c>
      <c r="AC29" s="382">
        <v>2024</v>
      </c>
      <c r="AD29" s="382">
        <v>2025</v>
      </c>
      <c r="AE29" s="382">
        <v>2026</v>
      </c>
      <c r="AF29" s="382">
        <v>2027</v>
      </c>
      <c r="AG29" s="383">
        <v>2028</v>
      </c>
      <c r="AH29" s="383">
        <v>2029</v>
      </c>
      <c r="AI29" s="383">
        <v>2030</v>
      </c>
      <c r="AJ29" s="383">
        <v>2031</v>
      </c>
      <c r="AK29" s="383">
        <v>2032</v>
      </c>
      <c r="AL29" s="383">
        <v>2033</v>
      </c>
      <c r="AM29" s="383">
        <v>2034</v>
      </c>
      <c r="AN29" s="383">
        <v>2035</v>
      </c>
    </row>
    <row r="30" spans="1:40" s="390" customFormat="1" x14ac:dyDescent="0.35">
      <c r="A30" s="370"/>
      <c r="B30" s="370"/>
      <c r="C30" s="370"/>
      <c r="D30" s="370"/>
      <c r="E30" s="396" t="s">
        <v>582</v>
      </c>
      <c r="F30" s="397"/>
      <c r="G30" s="397"/>
      <c r="H30" s="398"/>
      <c r="I30" s="399"/>
      <c r="J30" s="399">
        <f>SUM(J31:J35)</f>
        <v>215510</v>
      </c>
      <c r="K30" s="621">
        <f t="shared" ref="K30:M30" si="31">SUM(K31:K35)</f>
        <v>215510</v>
      </c>
      <c r="L30" s="621">
        <f t="shared" si="31"/>
        <v>0</v>
      </c>
      <c r="M30" s="621">
        <f t="shared" si="31"/>
        <v>0</v>
      </c>
      <c r="N30" s="375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375"/>
      <c r="AC30" s="400"/>
      <c r="AD30" s="400"/>
      <c r="AE30" s="400"/>
      <c r="AF30" s="400"/>
      <c r="AG30" s="400"/>
      <c r="AH30" s="400"/>
      <c r="AI30" s="400"/>
      <c r="AJ30" s="400"/>
      <c r="AK30" s="400"/>
      <c r="AL30" s="400"/>
      <c r="AM30" s="400"/>
      <c r="AN30" s="400"/>
    </row>
    <row r="31" spans="1:40" x14ac:dyDescent="0.35">
      <c r="A31" s="401" t="s">
        <v>595</v>
      </c>
      <c r="B31" s="401" t="s">
        <v>15</v>
      </c>
      <c r="C31" s="401" t="s">
        <v>748</v>
      </c>
      <c r="D31" s="401" t="s">
        <v>545</v>
      </c>
      <c r="E31" s="161" t="s">
        <v>735</v>
      </c>
      <c r="F31" s="402" t="s">
        <v>585</v>
      </c>
      <c r="G31" s="403">
        <v>1</v>
      </c>
      <c r="H31" s="417">
        <f>1.3*82000</f>
        <v>106600</v>
      </c>
      <c r="I31" s="405">
        <f>G31*H31</f>
        <v>106600</v>
      </c>
      <c r="J31" s="612">
        <f>yld*I31</f>
        <v>122589.99999999999</v>
      </c>
      <c r="K31" s="608">
        <f t="shared" ref="K31:K35" si="32">J31-L31-M31</f>
        <v>122589.99999999999</v>
      </c>
      <c r="L31" s="608"/>
      <c r="M31" s="608"/>
      <c r="N31" s="406"/>
      <c r="O31" s="407">
        <v>25</v>
      </c>
      <c r="P31" s="408"/>
      <c r="Q31" s="408"/>
      <c r="R31" s="408"/>
      <c r="S31" s="408"/>
      <c r="T31" s="419">
        <f t="shared" ref="T31:AA35" si="33">$J31/8</f>
        <v>15323.749999999998</v>
      </c>
      <c r="U31" s="419">
        <f t="shared" si="33"/>
        <v>15323.749999999998</v>
      </c>
      <c r="V31" s="419">
        <f t="shared" si="33"/>
        <v>15323.749999999998</v>
      </c>
      <c r="W31" s="419">
        <f t="shared" si="33"/>
        <v>15323.749999999998</v>
      </c>
      <c r="X31" s="419">
        <f t="shared" si="33"/>
        <v>15323.749999999998</v>
      </c>
      <c r="Y31" s="419">
        <f t="shared" si="33"/>
        <v>15323.749999999998</v>
      </c>
      <c r="Z31" s="419">
        <f t="shared" si="33"/>
        <v>15323.749999999998</v>
      </c>
      <c r="AA31" s="419">
        <f t="shared" si="33"/>
        <v>15323.749999999998</v>
      </c>
      <c r="AC31" s="632">
        <f t="shared" ref="AC31:AC35" si="34">IFERROR(P31*$K31/$J31,0)</f>
        <v>0</v>
      </c>
      <c r="AD31" s="632">
        <f t="shared" ref="AD31:AD35" si="35">IFERROR(Q31*$K31/$J31,0)</f>
        <v>0</v>
      </c>
      <c r="AE31" s="632">
        <f t="shared" ref="AE31:AE35" si="36">IFERROR(R31*$K31/$J31,0)</f>
        <v>0</v>
      </c>
      <c r="AF31" s="632">
        <f t="shared" ref="AF31:AF35" si="37">IFERROR(S31*$K31/$J31,0)</f>
        <v>0</v>
      </c>
      <c r="AG31" s="632">
        <f t="shared" ref="AG31:AG35" si="38">IFERROR(T31*$K31/$J31,0)</f>
        <v>15323.749999999998</v>
      </c>
      <c r="AH31" s="632">
        <f t="shared" ref="AH31:AH35" si="39">IFERROR(U31*$K31/$J31,0)</f>
        <v>15323.749999999998</v>
      </c>
      <c r="AI31" s="632">
        <f t="shared" ref="AI31:AI35" si="40">IFERROR(V31*$K31/$J31,0)</f>
        <v>15323.749999999998</v>
      </c>
      <c r="AJ31" s="632">
        <f t="shared" ref="AJ31:AJ35" si="41">IFERROR(W31*$K31/$J31,0)</f>
        <v>15323.749999999998</v>
      </c>
      <c r="AK31" s="632">
        <f t="shared" ref="AK31:AK35" si="42">IFERROR(X31*$K31/$J31,0)</f>
        <v>15323.749999999998</v>
      </c>
      <c r="AL31" s="632">
        <f t="shared" ref="AL31:AL35" si="43">IFERROR(Y31*$K31/$J31,0)</f>
        <v>15323.749999999998</v>
      </c>
      <c r="AM31" s="632">
        <f t="shared" ref="AM31:AM35" si="44">IFERROR(Z31*$K31/$J31,0)</f>
        <v>15323.749999999998</v>
      </c>
      <c r="AN31" s="632">
        <f t="shared" ref="AN31:AN35" si="45">IFERROR(AA31*$K31/$J31,0)</f>
        <v>15323.749999999998</v>
      </c>
    </row>
    <row r="32" spans="1:40" x14ac:dyDescent="0.35">
      <c r="A32" s="401" t="s">
        <v>595</v>
      </c>
      <c r="B32" s="401" t="s">
        <v>15</v>
      </c>
      <c r="C32" s="401" t="s">
        <v>748</v>
      </c>
      <c r="D32" s="401" t="s">
        <v>545</v>
      </c>
      <c r="E32" s="161" t="s">
        <v>736</v>
      </c>
      <c r="F32" s="402" t="s">
        <v>585</v>
      </c>
      <c r="G32" s="403">
        <v>1</v>
      </c>
      <c r="H32" s="417">
        <v>30000</v>
      </c>
      <c r="I32" s="405">
        <f>G32*H32</f>
        <v>30000</v>
      </c>
      <c r="J32" s="612">
        <f>yld*I32</f>
        <v>34500</v>
      </c>
      <c r="K32" s="608">
        <f t="shared" si="32"/>
        <v>34500</v>
      </c>
      <c r="L32" s="608"/>
      <c r="M32" s="608"/>
      <c r="N32" s="406"/>
      <c r="O32" s="407">
        <v>15</v>
      </c>
      <c r="P32" s="408"/>
      <c r="Q32" s="408"/>
      <c r="R32" s="408"/>
      <c r="S32" s="408"/>
      <c r="T32" s="419">
        <f t="shared" si="33"/>
        <v>4312.5</v>
      </c>
      <c r="U32" s="419">
        <f t="shared" si="33"/>
        <v>4312.5</v>
      </c>
      <c r="V32" s="419">
        <f t="shared" si="33"/>
        <v>4312.5</v>
      </c>
      <c r="W32" s="419">
        <f t="shared" si="33"/>
        <v>4312.5</v>
      </c>
      <c r="X32" s="419">
        <f t="shared" si="33"/>
        <v>4312.5</v>
      </c>
      <c r="Y32" s="419">
        <f t="shared" si="33"/>
        <v>4312.5</v>
      </c>
      <c r="Z32" s="419">
        <f t="shared" si="33"/>
        <v>4312.5</v>
      </c>
      <c r="AA32" s="419">
        <f t="shared" si="33"/>
        <v>4312.5</v>
      </c>
      <c r="AC32" s="632">
        <f t="shared" si="34"/>
        <v>0</v>
      </c>
      <c r="AD32" s="632">
        <f t="shared" si="35"/>
        <v>0</v>
      </c>
      <c r="AE32" s="632">
        <f t="shared" si="36"/>
        <v>0</v>
      </c>
      <c r="AF32" s="632">
        <f t="shared" si="37"/>
        <v>0</v>
      </c>
      <c r="AG32" s="632">
        <f t="shared" si="38"/>
        <v>4312.5</v>
      </c>
      <c r="AH32" s="632">
        <f t="shared" si="39"/>
        <v>4312.5</v>
      </c>
      <c r="AI32" s="632">
        <f t="shared" si="40"/>
        <v>4312.5</v>
      </c>
      <c r="AJ32" s="632">
        <f t="shared" si="41"/>
        <v>4312.5</v>
      </c>
      <c r="AK32" s="632">
        <f t="shared" si="42"/>
        <v>4312.5</v>
      </c>
      <c r="AL32" s="632">
        <f t="shared" si="43"/>
        <v>4312.5</v>
      </c>
      <c r="AM32" s="632">
        <f t="shared" si="44"/>
        <v>4312.5</v>
      </c>
      <c r="AN32" s="632">
        <f t="shared" si="45"/>
        <v>4312.5</v>
      </c>
    </row>
    <row r="33" spans="1:45" x14ac:dyDescent="0.35">
      <c r="A33" s="401" t="s">
        <v>595</v>
      </c>
      <c r="B33" s="401" t="s">
        <v>15</v>
      </c>
      <c r="C33" s="401" t="s">
        <v>596</v>
      </c>
      <c r="D33" s="401" t="s">
        <v>545</v>
      </c>
      <c r="E33" s="140" t="s">
        <v>597</v>
      </c>
      <c r="F33" s="402" t="s">
        <v>5</v>
      </c>
      <c r="G33" s="403">
        <v>2</v>
      </c>
      <c r="H33" s="404">
        <v>20000</v>
      </c>
      <c r="I33" s="405">
        <f>G33*H33</f>
        <v>40000</v>
      </c>
      <c r="J33" s="612">
        <f>yld*I33</f>
        <v>46000</v>
      </c>
      <c r="K33" s="608">
        <f t="shared" si="32"/>
        <v>46000</v>
      </c>
      <c r="L33" s="608"/>
      <c r="M33" s="608"/>
      <c r="N33" s="406"/>
      <c r="O33" s="407">
        <v>50</v>
      </c>
      <c r="P33" s="408"/>
      <c r="Q33" s="408"/>
      <c r="R33" s="408"/>
      <c r="S33" s="408"/>
      <c r="T33" s="419">
        <f t="shared" si="33"/>
        <v>5750</v>
      </c>
      <c r="U33" s="419">
        <f t="shared" si="33"/>
        <v>5750</v>
      </c>
      <c r="V33" s="419">
        <f t="shared" si="33"/>
        <v>5750</v>
      </c>
      <c r="W33" s="419">
        <f t="shared" si="33"/>
        <v>5750</v>
      </c>
      <c r="X33" s="419">
        <f t="shared" si="33"/>
        <v>5750</v>
      </c>
      <c r="Y33" s="419">
        <f t="shared" si="33"/>
        <v>5750</v>
      </c>
      <c r="Z33" s="419">
        <f t="shared" si="33"/>
        <v>5750</v>
      </c>
      <c r="AA33" s="419">
        <f t="shared" si="33"/>
        <v>5750</v>
      </c>
      <c r="AC33" s="632">
        <f t="shared" si="34"/>
        <v>0</v>
      </c>
      <c r="AD33" s="632">
        <f t="shared" si="35"/>
        <v>0</v>
      </c>
      <c r="AE33" s="632">
        <f t="shared" si="36"/>
        <v>0</v>
      </c>
      <c r="AF33" s="632">
        <f t="shared" si="37"/>
        <v>0</v>
      </c>
      <c r="AG33" s="632">
        <f t="shared" si="38"/>
        <v>5750</v>
      </c>
      <c r="AH33" s="632">
        <f t="shared" si="39"/>
        <v>5750</v>
      </c>
      <c r="AI33" s="632">
        <f t="shared" si="40"/>
        <v>5750</v>
      </c>
      <c r="AJ33" s="632">
        <f t="shared" si="41"/>
        <v>5750</v>
      </c>
      <c r="AK33" s="632">
        <f t="shared" si="42"/>
        <v>5750</v>
      </c>
      <c r="AL33" s="632">
        <f t="shared" si="43"/>
        <v>5750</v>
      </c>
      <c r="AM33" s="632">
        <f t="shared" si="44"/>
        <v>5750</v>
      </c>
      <c r="AN33" s="632">
        <f t="shared" si="45"/>
        <v>5750</v>
      </c>
    </row>
    <row r="34" spans="1:45" x14ac:dyDescent="0.35">
      <c r="A34" s="401" t="s">
        <v>595</v>
      </c>
      <c r="B34" s="401" t="s">
        <v>15</v>
      </c>
      <c r="C34" s="401" t="s">
        <v>596</v>
      </c>
      <c r="D34" s="401" t="s">
        <v>545</v>
      </c>
      <c r="E34" s="161" t="s">
        <v>598</v>
      </c>
      <c r="F34" s="402" t="s">
        <v>585</v>
      </c>
      <c r="G34" s="403">
        <v>1</v>
      </c>
      <c r="H34" s="417">
        <f>1.3*6000</f>
        <v>7800</v>
      </c>
      <c r="I34" s="405">
        <f>G34*H34</f>
        <v>7800</v>
      </c>
      <c r="J34" s="612">
        <f>yld*I34</f>
        <v>8970</v>
      </c>
      <c r="K34" s="608">
        <f t="shared" si="32"/>
        <v>8970</v>
      </c>
      <c r="L34" s="608"/>
      <c r="M34" s="608"/>
      <c r="N34" s="406"/>
      <c r="O34" s="407">
        <v>15</v>
      </c>
      <c r="P34" s="408"/>
      <c r="Q34" s="408"/>
      <c r="R34" s="408"/>
      <c r="S34" s="408"/>
      <c r="T34" s="419">
        <f t="shared" si="33"/>
        <v>1121.25</v>
      </c>
      <c r="U34" s="419">
        <f t="shared" si="33"/>
        <v>1121.25</v>
      </c>
      <c r="V34" s="419">
        <f t="shared" si="33"/>
        <v>1121.25</v>
      </c>
      <c r="W34" s="419">
        <f t="shared" si="33"/>
        <v>1121.25</v>
      </c>
      <c r="X34" s="419">
        <f t="shared" si="33"/>
        <v>1121.25</v>
      </c>
      <c r="Y34" s="419">
        <f t="shared" si="33"/>
        <v>1121.25</v>
      </c>
      <c r="Z34" s="419">
        <f t="shared" si="33"/>
        <v>1121.25</v>
      </c>
      <c r="AA34" s="419">
        <f t="shared" si="33"/>
        <v>1121.25</v>
      </c>
      <c r="AC34" s="632">
        <f t="shared" si="34"/>
        <v>0</v>
      </c>
      <c r="AD34" s="632">
        <f t="shared" si="35"/>
        <v>0</v>
      </c>
      <c r="AE34" s="632">
        <f t="shared" si="36"/>
        <v>0</v>
      </c>
      <c r="AF34" s="632">
        <f t="shared" si="37"/>
        <v>0</v>
      </c>
      <c r="AG34" s="632">
        <f t="shared" si="38"/>
        <v>1121.25</v>
      </c>
      <c r="AH34" s="632">
        <f t="shared" si="39"/>
        <v>1121.25</v>
      </c>
      <c r="AI34" s="632">
        <f t="shared" si="40"/>
        <v>1121.25</v>
      </c>
      <c r="AJ34" s="632">
        <f t="shared" si="41"/>
        <v>1121.25</v>
      </c>
      <c r="AK34" s="632">
        <f t="shared" si="42"/>
        <v>1121.25</v>
      </c>
      <c r="AL34" s="632">
        <f t="shared" si="43"/>
        <v>1121.25</v>
      </c>
      <c r="AM34" s="632">
        <f t="shared" si="44"/>
        <v>1121.25</v>
      </c>
      <c r="AN34" s="632">
        <f t="shared" si="45"/>
        <v>1121.25</v>
      </c>
    </row>
    <row r="35" spans="1:45" x14ac:dyDescent="0.35">
      <c r="A35" s="401" t="s">
        <v>595</v>
      </c>
      <c r="B35" s="401" t="s">
        <v>15</v>
      </c>
      <c r="C35" s="401" t="s">
        <v>748</v>
      </c>
      <c r="D35" s="401" t="s">
        <v>545</v>
      </c>
      <c r="E35" s="140" t="s">
        <v>599</v>
      </c>
      <c r="F35" s="402" t="s">
        <v>585</v>
      </c>
      <c r="G35" s="403">
        <v>1</v>
      </c>
      <c r="H35" s="417">
        <v>3000</v>
      </c>
      <c r="I35" s="405">
        <f>G35*H35</f>
        <v>3000</v>
      </c>
      <c r="J35" s="612">
        <f>yld*I35</f>
        <v>3449.9999999999995</v>
      </c>
      <c r="K35" s="608">
        <f t="shared" si="32"/>
        <v>3449.9999999999995</v>
      </c>
      <c r="L35" s="608"/>
      <c r="M35" s="608"/>
      <c r="N35" s="406" t="s">
        <v>600</v>
      </c>
      <c r="O35" s="407">
        <v>25</v>
      </c>
      <c r="P35" s="408"/>
      <c r="Q35" s="408"/>
      <c r="R35" s="408"/>
      <c r="S35" s="408"/>
      <c r="T35" s="419">
        <f t="shared" si="33"/>
        <v>431.24999999999994</v>
      </c>
      <c r="U35" s="419">
        <f t="shared" si="33"/>
        <v>431.24999999999994</v>
      </c>
      <c r="V35" s="419">
        <f t="shared" si="33"/>
        <v>431.24999999999994</v>
      </c>
      <c r="W35" s="419">
        <f t="shared" si="33"/>
        <v>431.24999999999994</v>
      </c>
      <c r="X35" s="419">
        <f t="shared" si="33"/>
        <v>431.24999999999994</v>
      </c>
      <c r="Y35" s="419">
        <f t="shared" si="33"/>
        <v>431.24999999999994</v>
      </c>
      <c r="Z35" s="419">
        <f t="shared" si="33"/>
        <v>431.24999999999994</v>
      </c>
      <c r="AA35" s="419">
        <f t="shared" si="33"/>
        <v>431.24999999999994</v>
      </c>
      <c r="AC35" s="632">
        <f t="shared" si="34"/>
        <v>0</v>
      </c>
      <c r="AD35" s="632">
        <f t="shared" si="35"/>
        <v>0</v>
      </c>
      <c r="AE35" s="632">
        <f t="shared" si="36"/>
        <v>0</v>
      </c>
      <c r="AF35" s="632">
        <f t="shared" si="37"/>
        <v>0</v>
      </c>
      <c r="AG35" s="632">
        <f t="shared" si="38"/>
        <v>431.24999999999994</v>
      </c>
      <c r="AH35" s="632">
        <f t="shared" si="39"/>
        <v>431.24999999999994</v>
      </c>
      <c r="AI35" s="632">
        <f t="shared" si="40"/>
        <v>431.24999999999994</v>
      </c>
      <c r="AJ35" s="632">
        <f t="shared" si="41"/>
        <v>431.24999999999994</v>
      </c>
      <c r="AK35" s="632">
        <f t="shared" si="42"/>
        <v>431.24999999999994</v>
      </c>
      <c r="AL35" s="632">
        <f t="shared" si="43"/>
        <v>431.24999999999994</v>
      </c>
      <c r="AM35" s="632">
        <f t="shared" si="44"/>
        <v>431.24999999999994</v>
      </c>
      <c r="AN35" s="632">
        <f t="shared" si="45"/>
        <v>431.24999999999994</v>
      </c>
    </row>
    <row r="36" spans="1:45" s="416" customFormat="1" x14ac:dyDescent="0.35">
      <c r="A36" s="409"/>
      <c r="B36" s="409"/>
      <c r="C36" s="409"/>
      <c r="D36" s="409"/>
      <c r="E36" s="410" t="s">
        <v>588</v>
      </c>
      <c r="F36" s="411"/>
      <c r="G36" s="411"/>
      <c r="H36" s="412"/>
      <c r="I36" s="413"/>
      <c r="J36" s="413">
        <f>SUM(J37:J42)</f>
        <v>3793849.9999999995</v>
      </c>
      <c r="K36" s="622">
        <f>SUM(K37:K42)</f>
        <v>3793849.9999999995</v>
      </c>
      <c r="L36" s="622">
        <f>SUM(L37:L42)</f>
        <v>0</v>
      </c>
      <c r="M36" s="622">
        <f>SUM(M37:M42)</f>
        <v>0</v>
      </c>
      <c r="N36" s="414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4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</row>
    <row r="37" spans="1:45" x14ac:dyDescent="0.35">
      <c r="A37" s="401" t="s">
        <v>595</v>
      </c>
      <c r="B37" s="401" t="s">
        <v>17</v>
      </c>
      <c r="C37" s="401" t="s">
        <v>612</v>
      </c>
      <c r="D37" s="401" t="s">
        <v>545</v>
      </c>
      <c r="E37" s="161" t="s">
        <v>644</v>
      </c>
      <c r="F37" s="144" t="s">
        <v>585</v>
      </c>
      <c r="G37" s="518">
        <v>24</v>
      </c>
      <c r="H37" s="417">
        <f>MROUND(1.3*7000,500)</f>
        <v>9000</v>
      </c>
      <c r="I37" s="405">
        <f t="shared" ref="I37:I42" si="46">G37*H37</f>
        <v>216000</v>
      </c>
      <c r="J37" s="612">
        <f t="shared" ref="J37:J42" si="47">yld*I37</f>
        <v>248399.99999999997</v>
      </c>
      <c r="K37" s="608">
        <f t="shared" ref="K37:K40" si="48">J37-L37-M37</f>
        <v>248399.99999999997</v>
      </c>
      <c r="L37" s="608"/>
      <c r="M37" s="608"/>
      <c r="N37" s="418" t="s">
        <v>928</v>
      </c>
      <c r="O37" s="395">
        <v>50</v>
      </c>
      <c r="P37" s="419"/>
      <c r="Q37" s="419"/>
      <c r="R37" s="419"/>
      <c r="S37" s="419"/>
      <c r="T37" s="419">
        <f t="shared" ref="T37:AA42" si="49">$J37/8</f>
        <v>31049.999999999996</v>
      </c>
      <c r="U37" s="419">
        <f t="shared" si="49"/>
        <v>31049.999999999996</v>
      </c>
      <c r="V37" s="419">
        <f t="shared" si="49"/>
        <v>31049.999999999996</v>
      </c>
      <c r="W37" s="419">
        <f t="shared" si="49"/>
        <v>31049.999999999996</v>
      </c>
      <c r="X37" s="419">
        <f t="shared" si="49"/>
        <v>31049.999999999996</v>
      </c>
      <c r="Y37" s="419">
        <f t="shared" si="49"/>
        <v>31049.999999999996</v>
      </c>
      <c r="Z37" s="419">
        <f t="shared" si="49"/>
        <v>31049.999999999996</v>
      </c>
      <c r="AA37" s="419">
        <f t="shared" si="49"/>
        <v>31049.999999999996</v>
      </c>
      <c r="AC37" s="632">
        <f t="shared" ref="AC37:AC40" si="50">IFERROR(P37*$K37/$J37,0)</f>
        <v>0</v>
      </c>
      <c r="AD37" s="632">
        <f t="shared" ref="AD37:AD40" si="51">IFERROR(Q37*$K37/$J37,0)</f>
        <v>0</v>
      </c>
      <c r="AE37" s="632">
        <f t="shared" ref="AE37:AE40" si="52">IFERROR(R37*$K37/$J37,0)</f>
        <v>0</v>
      </c>
      <c r="AF37" s="632">
        <f t="shared" ref="AF37:AF40" si="53">IFERROR(S37*$K37/$J37,0)</f>
        <v>0</v>
      </c>
      <c r="AG37" s="632">
        <f t="shared" ref="AG37:AG40" si="54">IFERROR(T37*$K37/$J37,0)</f>
        <v>31049.999999999996</v>
      </c>
      <c r="AH37" s="632">
        <f t="shared" ref="AH37:AH40" si="55">IFERROR(U37*$K37/$J37,0)</f>
        <v>31049.999999999996</v>
      </c>
      <c r="AI37" s="632">
        <f t="shared" ref="AI37:AI40" si="56">IFERROR(V37*$K37/$J37,0)</f>
        <v>31049.999999999996</v>
      </c>
      <c r="AJ37" s="632">
        <f t="shared" ref="AJ37:AJ40" si="57">IFERROR(W37*$K37/$J37,0)</f>
        <v>31049.999999999996</v>
      </c>
      <c r="AK37" s="632">
        <f t="shared" ref="AK37:AK40" si="58">IFERROR(X37*$K37/$J37,0)</f>
        <v>31049.999999999996</v>
      </c>
      <c r="AL37" s="632">
        <f t="shared" ref="AL37:AL40" si="59">IFERROR(Y37*$K37/$J37,0)</f>
        <v>31049.999999999996</v>
      </c>
      <c r="AM37" s="632">
        <f t="shared" ref="AM37:AM40" si="60">IFERROR(Z37*$K37/$J37,0)</f>
        <v>31049.999999999996</v>
      </c>
      <c r="AN37" s="632">
        <f t="shared" ref="AN37:AN40" si="61">IFERROR(AA37*$K37/$J37,0)</f>
        <v>31049.999999999996</v>
      </c>
    </row>
    <row r="38" spans="1:45" x14ac:dyDescent="0.35">
      <c r="A38" s="401" t="s">
        <v>595</v>
      </c>
      <c r="B38" s="401" t="s">
        <v>17</v>
      </c>
      <c r="C38" s="401" t="s">
        <v>612</v>
      </c>
      <c r="D38" s="401" t="s">
        <v>545</v>
      </c>
      <c r="E38" s="654" t="s">
        <v>1014</v>
      </c>
      <c r="F38" s="144" t="s">
        <v>9</v>
      </c>
      <c r="G38" s="518">
        <v>130</v>
      </c>
      <c r="H38" s="424">
        <v>300</v>
      </c>
      <c r="I38" s="405">
        <f t="shared" si="46"/>
        <v>39000</v>
      </c>
      <c r="J38" s="612">
        <f t="shared" si="47"/>
        <v>44850</v>
      </c>
      <c r="K38" s="608">
        <f t="shared" ref="K38" si="62">J38-L38-M38</f>
        <v>44850</v>
      </c>
      <c r="L38" s="608"/>
      <c r="M38" s="608"/>
      <c r="N38" s="418" t="s">
        <v>928</v>
      </c>
      <c r="O38" s="395">
        <v>50</v>
      </c>
      <c r="P38" s="419"/>
      <c r="Q38" s="419"/>
      <c r="R38" s="419"/>
      <c r="S38" s="419"/>
      <c r="T38" s="419">
        <f t="shared" si="49"/>
        <v>5606.25</v>
      </c>
      <c r="U38" s="419">
        <f t="shared" si="49"/>
        <v>5606.25</v>
      </c>
      <c r="V38" s="419">
        <f t="shared" si="49"/>
        <v>5606.25</v>
      </c>
      <c r="W38" s="419">
        <f t="shared" si="49"/>
        <v>5606.25</v>
      </c>
      <c r="X38" s="419">
        <f t="shared" si="49"/>
        <v>5606.25</v>
      </c>
      <c r="Y38" s="419">
        <f t="shared" si="49"/>
        <v>5606.25</v>
      </c>
      <c r="Z38" s="419">
        <f t="shared" si="49"/>
        <v>5606.25</v>
      </c>
      <c r="AA38" s="419">
        <f t="shared" si="49"/>
        <v>5606.25</v>
      </c>
      <c r="AC38" s="632">
        <f t="shared" ref="AC38" si="63">IFERROR(P38*$K38/$J38,0)</f>
        <v>0</v>
      </c>
      <c r="AD38" s="632">
        <f t="shared" ref="AD38" si="64">IFERROR(Q38*$K38/$J38,0)</f>
        <v>0</v>
      </c>
      <c r="AE38" s="632">
        <f t="shared" ref="AE38" si="65">IFERROR(R38*$K38/$J38,0)</f>
        <v>0</v>
      </c>
      <c r="AF38" s="632">
        <f t="shared" ref="AF38" si="66">IFERROR(S38*$K38/$J38,0)</f>
        <v>0</v>
      </c>
      <c r="AG38" s="632">
        <f t="shared" ref="AG38" si="67">IFERROR(T38*$K38/$J38,0)</f>
        <v>5606.25</v>
      </c>
      <c r="AH38" s="632">
        <f t="shared" ref="AH38" si="68">IFERROR(U38*$K38/$J38,0)</f>
        <v>5606.25</v>
      </c>
      <c r="AI38" s="632">
        <f t="shared" ref="AI38" si="69">IFERROR(V38*$K38/$J38,0)</f>
        <v>5606.25</v>
      </c>
      <c r="AJ38" s="632">
        <f t="shared" ref="AJ38" si="70">IFERROR(W38*$K38/$J38,0)</f>
        <v>5606.25</v>
      </c>
      <c r="AK38" s="632">
        <f t="shared" ref="AK38" si="71">IFERROR(X38*$K38/$J38,0)</f>
        <v>5606.25</v>
      </c>
      <c r="AL38" s="632">
        <f t="shared" ref="AL38" si="72">IFERROR(Y38*$K38/$J38,0)</f>
        <v>5606.25</v>
      </c>
      <c r="AM38" s="632">
        <f t="shared" ref="AM38" si="73">IFERROR(Z38*$K38/$J38,0)</f>
        <v>5606.25</v>
      </c>
      <c r="AN38" s="632">
        <f t="shared" ref="AN38" si="74">IFERROR(AA38*$K38/$J38,0)</f>
        <v>5606.25</v>
      </c>
    </row>
    <row r="39" spans="1:45" x14ac:dyDescent="0.35">
      <c r="A39" s="401" t="s">
        <v>595</v>
      </c>
      <c r="B39" s="401" t="s">
        <v>17</v>
      </c>
      <c r="C39" s="401" t="s">
        <v>614</v>
      </c>
      <c r="D39" s="401" t="s">
        <v>545</v>
      </c>
      <c r="E39" s="139" t="s">
        <v>1012</v>
      </c>
      <c r="F39" s="144" t="s">
        <v>9</v>
      </c>
      <c r="G39" s="403">
        <v>7800</v>
      </c>
      <c r="H39" s="655">
        <f>350+4*9000/G39</f>
        <v>354.61538461538464</v>
      </c>
      <c r="I39" s="405">
        <f t="shared" si="46"/>
        <v>2766000</v>
      </c>
      <c r="J39" s="612">
        <f t="shared" si="47"/>
        <v>3180899.9999999995</v>
      </c>
      <c r="K39" s="608">
        <f t="shared" ref="K39" si="75">J39-L39-M39</f>
        <v>3180899.9999999995</v>
      </c>
      <c r="L39" s="608"/>
      <c r="M39" s="608"/>
      <c r="N39" s="418"/>
      <c r="O39" s="395">
        <v>50</v>
      </c>
      <c r="P39" s="419"/>
      <c r="Q39" s="419"/>
      <c r="R39" s="419"/>
      <c r="S39" s="419"/>
      <c r="T39" s="419">
        <f t="shared" si="49"/>
        <v>397612.49999999994</v>
      </c>
      <c r="U39" s="419">
        <f t="shared" si="49"/>
        <v>397612.49999999994</v>
      </c>
      <c r="V39" s="419">
        <f t="shared" si="49"/>
        <v>397612.49999999994</v>
      </c>
      <c r="W39" s="419">
        <f t="shared" si="49"/>
        <v>397612.49999999994</v>
      </c>
      <c r="X39" s="419">
        <f t="shared" si="49"/>
        <v>397612.49999999994</v>
      </c>
      <c r="Y39" s="419">
        <f t="shared" si="49"/>
        <v>397612.49999999994</v>
      </c>
      <c r="Z39" s="419">
        <f t="shared" si="49"/>
        <v>397612.49999999994</v>
      </c>
      <c r="AA39" s="419">
        <f t="shared" si="49"/>
        <v>397612.49999999994</v>
      </c>
      <c r="AC39" s="632">
        <f t="shared" ref="AC39" si="76">IFERROR(P39*$K39/$J39,0)</f>
        <v>0</v>
      </c>
      <c r="AD39" s="632">
        <f t="shared" ref="AD39" si="77">IFERROR(Q39*$K39/$J39,0)</f>
        <v>0</v>
      </c>
      <c r="AE39" s="632">
        <f t="shared" ref="AE39" si="78">IFERROR(R39*$K39/$J39,0)</f>
        <v>0</v>
      </c>
      <c r="AF39" s="632">
        <f t="shared" ref="AF39" si="79">IFERROR(S39*$K39/$J39,0)</f>
        <v>0</v>
      </c>
      <c r="AG39" s="632">
        <f t="shared" ref="AG39" si="80">IFERROR(T39*$K39/$J39,0)</f>
        <v>397612.49999999988</v>
      </c>
      <c r="AH39" s="632">
        <f t="shared" ref="AH39" si="81">IFERROR(U39*$K39/$J39,0)</f>
        <v>397612.49999999988</v>
      </c>
      <c r="AI39" s="632">
        <f t="shared" ref="AI39" si="82">IFERROR(V39*$K39/$J39,0)</f>
        <v>397612.49999999988</v>
      </c>
      <c r="AJ39" s="632">
        <f t="shared" ref="AJ39" si="83">IFERROR(W39*$K39/$J39,0)</f>
        <v>397612.49999999988</v>
      </c>
      <c r="AK39" s="632">
        <f t="shared" ref="AK39" si="84">IFERROR(X39*$K39/$J39,0)</f>
        <v>397612.49999999988</v>
      </c>
      <c r="AL39" s="632">
        <f t="shared" ref="AL39" si="85">IFERROR(Y39*$K39/$J39,0)</f>
        <v>397612.49999999988</v>
      </c>
      <c r="AM39" s="632">
        <f t="shared" ref="AM39" si="86">IFERROR(Z39*$K39/$J39,0)</f>
        <v>397612.49999999988</v>
      </c>
      <c r="AN39" s="632">
        <f t="shared" ref="AN39" si="87">IFERROR(AA39*$K39/$J39,0)</f>
        <v>397612.49999999988</v>
      </c>
    </row>
    <row r="40" spans="1:45" x14ac:dyDescent="0.35">
      <c r="A40" s="401" t="s">
        <v>595</v>
      </c>
      <c r="B40" s="401" t="s">
        <v>17</v>
      </c>
      <c r="C40" s="401" t="s">
        <v>753</v>
      </c>
      <c r="D40" s="401" t="s">
        <v>545</v>
      </c>
      <c r="E40" s="161" t="s">
        <v>601</v>
      </c>
      <c r="F40" s="144" t="s">
        <v>585</v>
      </c>
      <c r="G40" s="425">
        <v>2</v>
      </c>
      <c r="H40" s="417">
        <f>MROUND(1.3*80000,500)</f>
        <v>104000</v>
      </c>
      <c r="I40" s="405">
        <f t="shared" si="46"/>
        <v>208000</v>
      </c>
      <c r="J40" s="612">
        <f t="shared" si="47"/>
        <v>239199.99999999997</v>
      </c>
      <c r="K40" s="608">
        <f t="shared" si="48"/>
        <v>239199.99999999997</v>
      </c>
      <c r="L40" s="608"/>
      <c r="M40" s="608"/>
      <c r="N40" s="418"/>
      <c r="O40" s="395">
        <v>15</v>
      </c>
      <c r="P40" s="419"/>
      <c r="Q40" s="419"/>
      <c r="R40" s="419"/>
      <c r="S40" s="419"/>
      <c r="T40" s="419">
        <f t="shared" si="49"/>
        <v>29899.999999999996</v>
      </c>
      <c r="U40" s="419">
        <f t="shared" si="49"/>
        <v>29899.999999999996</v>
      </c>
      <c r="V40" s="419">
        <f t="shared" si="49"/>
        <v>29899.999999999996</v>
      </c>
      <c r="W40" s="419">
        <f t="shared" si="49"/>
        <v>29899.999999999996</v>
      </c>
      <c r="X40" s="419">
        <f t="shared" si="49"/>
        <v>29899.999999999996</v>
      </c>
      <c r="Y40" s="419">
        <f t="shared" si="49"/>
        <v>29899.999999999996</v>
      </c>
      <c r="Z40" s="419">
        <f t="shared" si="49"/>
        <v>29899.999999999996</v>
      </c>
      <c r="AA40" s="419">
        <f t="shared" si="49"/>
        <v>29899.999999999996</v>
      </c>
      <c r="AC40" s="632">
        <f t="shared" si="50"/>
        <v>0</v>
      </c>
      <c r="AD40" s="632">
        <f t="shared" si="51"/>
        <v>0</v>
      </c>
      <c r="AE40" s="632">
        <f t="shared" si="52"/>
        <v>0</v>
      </c>
      <c r="AF40" s="632">
        <f t="shared" si="53"/>
        <v>0</v>
      </c>
      <c r="AG40" s="632">
        <f t="shared" si="54"/>
        <v>29899.999999999996</v>
      </c>
      <c r="AH40" s="632">
        <f t="shared" si="55"/>
        <v>29899.999999999996</v>
      </c>
      <c r="AI40" s="632">
        <f t="shared" si="56"/>
        <v>29899.999999999996</v>
      </c>
      <c r="AJ40" s="632">
        <f t="shared" si="57"/>
        <v>29899.999999999996</v>
      </c>
      <c r="AK40" s="632">
        <f t="shared" si="58"/>
        <v>29899.999999999996</v>
      </c>
      <c r="AL40" s="632">
        <f t="shared" si="59"/>
        <v>29899.999999999996</v>
      </c>
      <c r="AM40" s="632">
        <f t="shared" si="60"/>
        <v>29899.999999999996</v>
      </c>
      <c r="AN40" s="632">
        <f t="shared" si="61"/>
        <v>29899.999999999996</v>
      </c>
    </row>
    <row r="41" spans="1:45" x14ac:dyDescent="0.35">
      <c r="A41" s="401" t="s">
        <v>595</v>
      </c>
      <c r="B41" s="401" t="s">
        <v>17</v>
      </c>
      <c r="C41" s="401" t="s">
        <v>753</v>
      </c>
      <c r="D41" s="401" t="s">
        <v>545</v>
      </c>
      <c r="E41" s="161" t="s">
        <v>602</v>
      </c>
      <c r="F41" s="144" t="s">
        <v>585</v>
      </c>
      <c r="G41" s="425">
        <v>1</v>
      </c>
      <c r="H41" s="417">
        <v>50000</v>
      </c>
      <c r="I41" s="405">
        <f t="shared" si="46"/>
        <v>50000</v>
      </c>
      <c r="J41" s="612">
        <f t="shared" si="47"/>
        <v>57499.999999999993</v>
      </c>
      <c r="K41" s="608">
        <f t="shared" ref="K41:K42" si="88">J41-L41-M41</f>
        <v>57499.999999999993</v>
      </c>
      <c r="L41" s="608"/>
      <c r="M41" s="608"/>
      <c r="N41" s="418"/>
      <c r="O41" s="395">
        <v>15</v>
      </c>
      <c r="P41" s="419"/>
      <c r="Q41" s="419"/>
      <c r="R41" s="419"/>
      <c r="S41" s="419"/>
      <c r="T41" s="419">
        <f t="shared" si="49"/>
        <v>7187.4999999999991</v>
      </c>
      <c r="U41" s="419">
        <f t="shared" si="49"/>
        <v>7187.4999999999991</v>
      </c>
      <c r="V41" s="419">
        <f t="shared" si="49"/>
        <v>7187.4999999999991</v>
      </c>
      <c r="W41" s="419">
        <f t="shared" si="49"/>
        <v>7187.4999999999991</v>
      </c>
      <c r="X41" s="419">
        <f t="shared" si="49"/>
        <v>7187.4999999999991</v>
      </c>
      <c r="Y41" s="419">
        <f t="shared" si="49"/>
        <v>7187.4999999999991</v>
      </c>
      <c r="Z41" s="419">
        <f t="shared" si="49"/>
        <v>7187.4999999999991</v>
      </c>
      <c r="AA41" s="419">
        <f t="shared" si="49"/>
        <v>7187.4999999999991</v>
      </c>
      <c r="AC41" s="632">
        <f t="shared" ref="AC41" si="89">IFERROR(P41*$K41/$J41,0)</f>
        <v>0</v>
      </c>
      <c r="AD41" s="632">
        <f t="shared" ref="AD41" si="90">IFERROR(Q41*$K41/$J41,0)</f>
        <v>0</v>
      </c>
      <c r="AE41" s="632">
        <f t="shared" ref="AE41" si="91">IFERROR(R41*$K41/$J41,0)</f>
        <v>0</v>
      </c>
      <c r="AF41" s="632">
        <f t="shared" ref="AF41" si="92">IFERROR(S41*$K41/$J41,0)</f>
        <v>0</v>
      </c>
      <c r="AG41" s="632">
        <f t="shared" ref="AG41" si="93">IFERROR(T41*$K41/$J41,0)</f>
        <v>7187.4999999999991</v>
      </c>
      <c r="AH41" s="632">
        <f t="shared" ref="AH41" si="94">IFERROR(U41*$K41/$J41,0)</f>
        <v>7187.4999999999991</v>
      </c>
      <c r="AI41" s="632">
        <f t="shared" ref="AI41" si="95">IFERROR(V41*$K41/$J41,0)</f>
        <v>7187.4999999999991</v>
      </c>
      <c r="AJ41" s="632">
        <f t="shared" ref="AJ41" si="96">IFERROR(W41*$K41/$J41,0)</f>
        <v>7187.4999999999991</v>
      </c>
      <c r="AK41" s="632">
        <f t="shared" ref="AK41" si="97">IFERROR(X41*$K41/$J41,0)</f>
        <v>7187.4999999999991</v>
      </c>
      <c r="AL41" s="632">
        <f t="shared" ref="AL41" si="98">IFERROR(Y41*$K41/$J41,0)</f>
        <v>7187.4999999999991</v>
      </c>
      <c r="AM41" s="632">
        <f t="shared" ref="AM41" si="99">IFERROR(Z41*$K41/$J41,0)</f>
        <v>7187.4999999999991</v>
      </c>
      <c r="AN41" s="632">
        <f t="shared" ref="AN41" si="100">IFERROR(AA41*$K41/$J41,0)</f>
        <v>7187.4999999999991</v>
      </c>
    </row>
    <row r="42" spans="1:45" x14ac:dyDescent="0.35">
      <c r="A42" s="401" t="s">
        <v>595</v>
      </c>
      <c r="B42" s="401" t="s">
        <v>17</v>
      </c>
      <c r="C42" s="401" t="s">
        <v>753</v>
      </c>
      <c r="D42" s="401" t="s">
        <v>545</v>
      </c>
      <c r="E42" s="140" t="s">
        <v>929</v>
      </c>
      <c r="F42" s="144" t="s">
        <v>585</v>
      </c>
      <c r="G42" s="425">
        <v>1</v>
      </c>
      <c r="H42" s="404">
        <v>20000</v>
      </c>
      <c r="I42" s="405">
        <f t="shared" si="46"/>
        <v>20000</v>
      </c>
      <c r="J42" s="612">
        <f t="shared" si="47"/>
        <v>23000</v>
      </c>
      <c r="K42" s="608">
        <f t="shared" si="88"/>
        <v>23000</v>
      </c>
      <c r="L42" s="608"/>
      <c r="M42" s="608"/>
      <c r="N42" s="488"/>
      <c r="O42" s="395">
        <v>25</v>
      </c>
      <c r="P42" s="419"/>
      <c r="Q42" s="419"/>
      <c r="R42" s="419"/>
      <c r="S42" s="419"/>
      <c r="T42" s="419">
        <f t="shared" si="49"/>
        <v>2875</v>
      </c>
      <c r="U42" s="419">
        <f t="shared" si="49"/>
        <v>2875</v>
      </c>
      <c r="V42" s="419">
        <f t="shared" si="49"/>
        <v>2875</v>
      </c>
      <c r="W42" s="419">
        <f t="shared" si="49"/>
        <v>2875</v>
      </c>
      <c r="X42" s="419">
        <f t="shared" si="49"/>
        <v>2875</v>
      </c>
      <c r="Y42" s="419">
        <f t="shared" si="49"/>
        <v>2875</v>
      </c>
      <c r="Z42" s="419">
        <f t="shared" si="49"/>
        <v>2875</v>
      </c>
      <c r="AA42" s="419">
        <f t="shared" si="49"/>
        <v>2875</v>
      </c>
      <c r="AC42" s="632">
        <f t="shared" ref="AC42" si="101">IFERROR(P42*$K42/$J42,0)</f>
        <v>0</v>
      </c>
      <c r="AD42" s="632">
        <f t="shared" ref="AD42" si="102">IFERROR(Q42*$K42/$J42,0)</f>
        <v>0</v>
      </c>
      <c r="AE42" s="632">
        <f t="shared" ref="AE42" si="103">IFERROR(R42*$K42/$J42,0)</f>
        <v>0</v>
      </c>
      <c r="AF42" s="632">
        <f t="shared" ref="AF42" si="104">IFERROR(S42*$K42/$J42,0)</f>
        <v>0</v>
      </c>
      <c r="AG42" s="632">
        <f t="shared" ref="AG42" si="105">IFERROR(T42*$K42/$J42,0)</f>
        <v>2875</v>
      </c>
      <c r="AH42" s="632">
        <f t="shared" ref="AH42" si="106">IFERROR(U42*$K42/$J42,0)</f>
        <v>2875</v>
      </c>
      <c r="AI42" s="632">
        <f t="shared" ref="AI42" si="107">IFERROR(V42*$K42/$J42,0)</f>
        <v>2875</v>
      </c>
      <c r="AJ42" s="632">
        <f t="shared" ref="AJ42" si="108">IFERROR(W42*$K42/$J42,0)</f>
        <v>2875</v>
      </c>
      <c r="AK42" s="632">
        <f t="shared" ref="AK42" si="109">IFERROR(X42*$K42/$J42,0)</f>
        <v>2875</v>
      </c>
      <c r="AL42" s="632">
        <f t="shared" ref="AL42" si="110">IFERROR(Y42*$K42/$J42,0)</f>
        <v>2875</v>
      </c>
      <c r="AM42" s="632">
        <f t="shared" ref="AM42" si="111">IFERROR(Z42*$K42/$J42,0)</f>
        <v>2875</v>
      </c>
      <c r="AN42" s="632">
        <f t="shared" ref="AN42" si="112">IFERROR(AA42*$K42/$J42,0)</f>
        <v>2875</v>
      </c>
    </row>
    <row r="43" spans="1:45" ht="10" x14ac:dyDescent="0.35">
      <c r="E43" s="481" t="s">
        <v>659</v>
      </c>
      <c r="F43" s="482"/>
      <c r="G43" s="482"/>
      <c r="H43" s="483"/>
      <c r="I43" s="484"/>
      <c r="J43" s="611">
        <f>J45+J55</f>
        <v>1888645</v>
      </c>
      <c r="K43" s="608"/>
      <c r="L43" s="608"/>
      <c r="M43" s="608"/>
      <c r="O43" s="375"/>
      <c r="AC43" s="375"/>
      <c r="AD43" s="375"/>
      <c r="AE43" s="375"/>
      <c r="AF43" s="375"/>
      <c r="AG43" s="375"/>
      <c r="AH43" s="375"/>
      <c r="AI43" s="375"/>
      <c r="AJ43" s="375"/>
      <c r="AK43" s="375"/>
      <c r="AL43" s="375"/>
      <c r="AM43" s="375"/>
      <c r="AN43" s="375"/>
      <c r="AO43" s="512" t="s">
        <v>706</v>
      </c>
      <c r="AP43" s="495" t="e">
        <f>J46+#REF!+J56+J73</f>
        <v>#REF!</v>
      </c>
      <c r="AQ43" s="390" t="s">
        <v>712</v>
      </c>
    </row>
    <row r="44" spans="1:45" x14ac:dyDescent="0.35">
      <c r="E44" s="377" t="s">
        <v>0</v>
      </c>
      <c r="F44" s="378" t="s">
        <v>1</v>
      </c>
      <c r="G44" s="379" t="s">
        <v>2</v>
      </c>
      <c r="H44" s="380" t="s">
        <v>3</v>
      </c>
      <c r="I44" s="380" t="s">
        <v>4</v>
      </c>
      <c r="J44" s="609" t="s">
        <v>52</v>
      </c>
      <c r="K44" s="608"/>
      <c r="L44" s="608"/>
      <c r="M44" s="608"/>
      <c r="N44" s="390"/>
      <c r="O44" s="375"/>
      <c r="AC44" s="375"/>
      <c r="AD44" s="375"/>
      <c r="AE44" s="375"/>
      <c r="AF44" s="375"/>
      <c r="AG44" s="375"/>
      <c r="AH44" s="375"/>
      <c r="AI44" s="375"/>
      <c r="AJ44" s="375"/>
      <c r="AK44" s="375"/>
      <c r="AL44" s="375"/>
      <c r="AM44" s="375"/>
      <c r="AN44" s="375"/>
      <c r="AO44" s="513" t="s">
        <v>713</v>
      </c>
      <c r="AP44" s="496" t="e">
        <f>AP43/50</f>
        <v>#REF!</v>
      </c>
      <c r="AQ44" s="487" t="s">
        <v>712</v>
      </c>
    </row>
    <row r="45" spans="1:45" s="390" customFormat="1" x14ac:dyDescent="0.35">
      <c r="A45" s="370"/>
      <c r="B45" s="370"/>
      <c r="C45" s="370"/>
      <c r="D45" s="370"/>
      <c r="E45" s="396" t="s">
        <v>582</v>
      </c>
      <c r="F45" s="397"/>
      <c r="G45" s="397"/>
      <c r="H45" s="398"/>
      <c r="I45" s="399"/>
      <c r="J45" s="399">
        <f>SUM(J46:J54)</f>
        <v>530495</v>
      </c>
      <c r="K45" s="608"/>
      <c r="L45" s="608"/>
      <c r="M45" s="608"/>
      <c r="N45" s="375"/>
      <c r="O45" s="375"/>
      <c r="V45" s="375"/>
      <c r="W45" s="375"/>
      <c r="X45" s="375"/>
      <c r="Y45" s="375"/>
      <c r="Z45" s="375"/>
      <c r="AA45" s="375"/>
      <c r="AI45" s="375"/>
      <c r="AJ45" s="375"/>
      <c r="AK45" s="375"/>
      <c r="AL45" s="375"/>
      <c r="AM45" s="375"/>
      <c r="AN45" s="375"/>
      <c r="AO45" s="512" t="s">
        <v>709</v>
      </c>
      <c r="AP45" s="497">
        <f>4*2.36*Q!$AJ$9/1000*365</f>
        <v>343.83793074987767</v>
      </c>
      <c r="AQ45" s="375" t="s">
        <v>148</v>
      </c>
      <c r="AR45" s="491">
        <v>0.28999999999999998</v>
      </c>
      <c r="AS45" s="491" t="s">
        <v>46</v>
      </c>
    </row>
    <row r="46" spans="1:45" x14ac:dyDescent="0.35">
      <c r="A46" s="517" t="s">
        <v>737</v>
      </c>
      <c r="B46" s="517" t="s">
        <v>15</v>
      </c>
      <c r="C46" s="517"/>
      <c r="D46" s="517" t="s">
        <v>545</v>
      </c>
      <c r="E46" s="161" t="s">
        <v>952</v>
      </c>
      <c r="F46" s="402" t="s">
        <v>9</v>
      </c>
      <c r="G46" s="403">
        <v>350</v>
      </c>
      <c r="H46" s="404">
        <f>Ühikhinnad!$C$3</f>
        <v>80</v>
      </c>
      <c r="I46" s="405">
        <f t="shared" ref="I46:I54" si="113">G46*H46</f>
        <v>28000</v>
      </c>
      <c r="J46" s="612">
        <f t="shared" ref="J46:J54" si="114">yld*I46</f>
        <v>32199.999999999996</v>
      </c>
      <c r="K46" s="608"/>
      <c r="L46" s="608"/>
      <c r="M46" s="608"/>
      <c r="N46" s="406"/>
      <c r="O46" s="406"/>
      <c r="V46" s="406"/>
      <c r="W46" s="406"/>
      <c r="X46" s="406"/>
      <c r="Y46" s="406"/>
      <c r="Z46" s="406"/>
      <c r="AA46" s="406"/>
      <c r="AI46" s="633"/>
      <c r="AJ46" s="633"/>
      <c r="AK46" s="633"/>
      <c r="AL46" s="633"/>
      <c r="AM46" s="633"/>
      <c r="AN46" s="633"/>
      <c r="AO46" s="512" t="s">
        <v>710</v>
      </c>
      <c r="AP46" s="497">
        <f>4*2.36*Q!$AJ$39/1000*365</f>
        <v>341.2360925226655</v>
      </c>
      <c r="AQ46" s="375" t="s">
        <v>148</v>
      </c>
      <c r="AR46" s="491">
        <v>0.62</v>
      </c>
      <c r="AS46" s="491" t="s">
        <v>46</v>
      </c>
    </row>
    <row r="47" spans="1:45" x14ac:dyDescent="0.35">
      <c r="A47" s="517" t="s">
        <v>737</v>
      </c>
      <c r="B47" s="517" t="s">
        <v>15</v>
      </c>
      <c r="C47" s="517"/>
      <c r="D47" s="517" t="s">
        <v>545</v>
      </c>
      <c r="E47" s="161" t="s">
        <v>960</v>
      </c>
      <c r="F47" s="402" t="s">
        <v>5</v>
      </c>
      <c r="G47" s="403">
        <v>6</v>
      </c>
      <c r="H47" s="404">
        <f>Ühikhinnad!$C$11</f>
        <v>350</v>
      </c>
      <c r="I47" s="405">
        <f t="shared" si="113"/>
        <v>2100</v>
      </c>
      <c r="J47" s="612">
        <f t="shared" si="114"/>
        <v>2415</v>
      </c>
      <c r="K47" s="608"/>
      <c r="L47" s="608"/>
      <c r="M47" s="608"/>
      <c r="N47" s="406"/>
      <c r="O47" s="406"/>
      <c r="V47" s="406"/>
      <c r="W47" s="406"/>
      <c r="X47" s="406"/>
      <c r="Y47" s="406"/>
      <c r="Z47" s="406"/>
      <c r="AA47" s="406"/>
      <c r="AI47" s="633"/>
      <c r="AJ47" s="633"/>
      <c r="AK47" s="633"/>
      <c r="AL47" s="633"/>
      <c r="AM47" s="633"/>
      <c r="AN47" s="633"/>
      <c r="AO47" s="513" t="s">
        <v>732</v>
      </c>
      <c r="AP47" s="496">
        <f>AP45*100/90*AR45+AP46*100/75*AR46</f>
        <v>392.8807252825863</v>
      </c>
      <c r="AQ47" s="487" t="s">
        <v>712</v>
      </c>
      <c r="AS47" s="491"/>
    </row>
    <row r="48" spans="1:45" x14ac:dyDescent="0.2">
      <c r="A48" s="517" t="s">
        <v>737</v>
      </c>
      <c r="B48" s="517" t="s">
        <v>15</v>
      </c>
      <c r="C48" s="517"/>
      <c r="D48" s="517" t="s">
        <v>545</v>
      </c>
      <c r="E48" s="161" t="s">
        <v>954</v>
      </c>
      <c r="F48" s="402" t="s">
        <v>9</v>
      </c>
      <c r="G48" s="403">
        <v>985</v>
      </c>
      <c r="H48" s="404">
        <f>Ühikhinnad!$C$3</f>
        <v>80</v>
      </c>
      <c r="I48" s="405">
        <f t="shared" si="113"/>
        <v>78800</v>
      </c>
      <c r="J48" s="612">
        <f t="shared" si="114"/>
        <v>90620</v>
      </c>
      <c r="K48" s="608"/>
      <c r="L48" s="608"/>
      <c r="M48" s="608"/>
      <c r="N48" s="406"/>
      <c r="O48" s="406"/>
      <c r="V48" s="406"/>
      <c r="W48" s="406"/>
      <c r="X48" s="406"/>
      <c r="Y48" s="406"/>
      <c r="Z48" s="406"/>
      <c r="AA48" s="406"/>
      <c r="AI48" s="633"/>
      <c r="AJ48" s="633"/>
      <c r="AK48" s="633"/>
      <c r="AL48" s="633"/>
      <c r="AM48" s="633"/>
      <c r="AN48" s="633"/>
      <c r="AO48" s="512" t="s">
        <v>708</v>
      </c>
      <c r="AP48" s="498">
        <v>1.57</v>
      </c>
      <c r="AQ48" s="375" t="s">
        <v>46</v>
      </c>
      <c r="AR48" s="491"/>
      <c r="AS48" s="491"/>
    </row>
    <row r="49" spans="1:45" x14ac:dyDescent="0.2">
      <c r="A49" s="517" t="s">
        <v>737</v>
      </c>
      <c r="B49" s="517" t="s">
        <v>15</v>
      </c>
      <c r="C49" s="517"/>
      <c r="D49" s="517" t="s">
        <v>545</v>
      </c>
      <c r="E49" s="161" t="s">
        <v>961</v>
      </c>
      <c r="F49" s="402" t="s">
        <v>5</v>
      </c>
      <c r="G49" s="403">
        <v>10</v>
      </c>
      <c r="H49" s="404">
        <f>Ühikhinnad!$C$11</f>
        <v>350</v>
      </c>
      <c r="I49" s="405">
        <f t="shared" si="113"/>
        <v>3500</v>
      </c>
      <c r="J49" s="612">
        <f t="shared" si="114"/>
        <v>4024.9999999999995</v>
      </c>
      <c r="K49" s="608"/>
      <c r="L49" s="608"/>
      <c r="M49" s="608"/>
      <c r="N49" s="406"/>
      <c r="O49" s="406"/>
      <c r="V49" s="406"/>
      <c r="W49" s="406"/>
      <c r="X49" s="406"/>
      <c r="Y49" s="406"/>
      <c r="Z49" s="406"/>
      <c r="AA49" s="406"/>
      <c r="AI49" s="633"/>
      <c r="AJ49" s="633"/>
      <c r="AK49" s="633"/>
      <c r="AL49" s="633"/>
      <c r="AM49" s="633"/>
      <c r="AN49" s="633"/>
      <c r="AO49" s="512" t="s">
        <v>711</v>
      </c>
      <c r="AP49" s="498">
        <v>2.13</v>
      </c>
      <c r="AQ49" s="375" t="s">
        <v>46</v>
      </c>
      <c r="AS49" s="491"/>
    </row>
    <row r="50" spans="1:45" x14ac:dyDescent="0.35">
      <c r="A50" s="517" t="s">
        <v>737</v>
      </c>
      <c r="B50" s="517" t="s">
        <v>15</v>
      </c>
      <c r="C50" s="517"/>
      <c r="D50" s="517" t="s">
        <v>545</v>
      </c>
      <c r="E50" s="161" t="s">
        <v>958</v>
      </c>
      <c r="F50" s="402" t="s">
        <v>9</v>
      </c>
      <c r="G50" s="403">
        <v>1055</v>
      </c>
      <c r="H50" s="404">
        <f>Ühikhinnad!$C$3</f>
        <v>80</v>
      </c>
      <c r="I50" s="405">
        <f t="shared" si="113"/>
        <v>84400</v>
      </c>
      <c r="J50" s="612">
        <f t="shared" si="114"/>
        <v>97059.999999999985</v>
      </c>
      <c r="K50" s="608"/>
      <c r="L50" s="608"/>
      <c r="M50" s="608"/>
      <c r="N50" s="406"/>
      <c r="O50" s="406"/>
      <c r="V50" s="406"/>
      <c r="W50" s="406"/>
      <c r="X50" s="406"/>
      <c r="Y50" s="406"/>
      <c r="Z50" s="406"/>
      <c r="AA50" s="406"/>
      <c r="AI50" s="633"/>
      <c r="AJ50" s="633"/>
      <c r="AK50" s="633"/>
      <c r="AL50" s="633"/>
      <c r="AM50" s="633"/>
      <c r="AN50" s="633"/>
      <c r="AO50" s="514" t="s">
        <v>707</v>
      </c>
      <c r="AP50" s="490">
        <f>AP45*AP48+AP46*AP49</f>
        <v>1266.6584283505854</v>
      </c>
      <c r="AQ50" s="489" t="s">
        <v>712</v>
      </c>
      <c r="AR50" s="491"/>
      <c r="AS50" s="491"/>
    </row>
    <row r="51" spans="1:45" x14ac:dyDescent="0.35">
      <c r="A51" s="517" t="s">
        <v>737</v>
      </c>
      <c r="B51" s="517" t="s">
        <v>15</v>
      </c>
      <c r="C51" s="517"/>
      <c r="D51" s="517" t="s">
        <v>545</v>
      </c>
      <c r="E51" s="161" t="s">
        <v>962</v>
      </c>
      <c r="F51" s="402" t="s">
        <v>5</v>
      </c>
      <c r="G51" s="403">
        <v>10</v>
      </c>
      <c r="H51" s="404">
        <f>Ühikhinnad!$C$11</f>
        <v>350</v>
      </c>
      <c r="I51" s="405">
        <f t="shared" si="113"/>
        <v>3500</v>
      </c>
      <c r="J51" s="612">
        <f t="shared" si="114"/>
        <v>4024.9999999999995</v>
      </c>
      <c r="K51" s="608"/>
      <c r="L51" s="608"/>
      <c r="M51" s="608"/>
      <c r="N51" s="406"/>
      <c r="O51" s="406"/>
      <c r="V51" s="406"/>
      <c r="W51" s="406"/>
      <c r="X51" s="406"/>
      <c r="Y51" s="406"/>
      <c r="Z51" s="406"/>
      <c r="AA51" s="406"/>
      <c r="AI51" s="633"/>
      <c r="AJ51" s="633"/>
      <c r="AK51" s="633"/>
      <c r="AL51" s="633"/>
      <c r="AM51" s="633"/>
      <c r="AN51" s="633"/>
      <c r="AO51" s="513" t="s">
        <v>733</v>
      </c>
      <c r="AP51" s="499" t="e">
        <f>AP50-AP44-AP47</f>
        <v>#REF!</v>
      </c>
      <c r="AQ51" s="487" t="s">
        <v>712</v>
      </c>
      <c r="AS51" s="491"/>
    </row>
    <row r="52" spans="1:45" x14ac:dyDescent="0.35">
      <c r="A52" s="517" t="s">
        <v>737</v>
      </c>
      <c r="B52" s="517" t="s">
        <v>15</v>
      </c>
      <c r="C52" s="517"/>
      <c r="D52" s="517" t="s">
        <v>545</v>
      </c>
      <c r="E52" s="161" t="s">
        <v>959</v>
      </c>
      <c r="F52" s="402" t="s">
        <v>9</v>
      </c>
      <c r="G52" s="403">
        <f>2725-195</f>
        <v>2530</v>
      </c>
      <c r="H52" s="404">
        <f>Ühikhinnad!$C$3</f>
        <v>80</v>
      </c>
      <c r="I52" s="405">
        <f t="shared" si="113"/>
        <v>202400</v>
      </c>
      <c r="J52" s="612">
        <f t="shared" si="114"/>
        <v>232759.99999999997</v>
      </c>
      <c r="K52" s="608"/>
      <c r="L52" s="608"/>
      <c r="M52" s="608"/>
      <c r="N52" s="406"/>
      <c r="O52" s="406"/>
      <c r="V52" s="406"/>
      <c r="W52" s="406"/>
      <c r="X52" s="406"/>
      <c r="Y52" s="406"/>
      <c r="Z52" s="406"/>
      <c r="AA52" s="406"/>
      <c r="AI52" s="633"/>
      <c r="AJ52" s="633"/>
      <c r="AK52" s="633"/>
      <c r="AL52" s="633"/>
      <c r="AM52" s="633"/>
      <c r="AN52" s="633"/>
      <c r="AO52" s="512"/>
      <c r="AP52" s="492" t="e">
        <f>AP51/AP45</f>
        <v>#REF!</v>
      </c>
      <c r="AQ52" s="441" t="s">
        <v>46</v>
      </c>
      <c r="AR52" s="491"/>
      <c r="AS52" s="491"/>
    </row>
    <row r="53" spans="1:45" x14ac:dyDescent="0.35">
      <c r="A53" s="517" t="s">
        <v>737</v>
      </c>
      <c r="B53" s="517" t="s">
        <v>15</v>
      </c>
      <c r="C53" s="517"/>
      <c r="D53" s="517" t="s">
        <v>545</v>
      </c>
      <c r="E53" s="161" t="s">
        <v>985</v>
      </c>
      <c r="F53" s="402" t="s">
        <v>9</v>
      </c>
      <c r="G53" s="403">
        <v>195</v>
      </c>
      <c r="H53" s="404">
        <f>Ühikhinnad!$C$2</f>
        <v>130</v>
      </c>
      <c r="I53" s="405">
        <f t="shared" ref="I53" si="115">G53*H53</f>
        <v>25350</v>
      </c>
      <c r="J53" s="612">
        <f t="shared" ref="J53" si="116">yld*I53</f>
        <v>29152.499999999996</v>
      </c>
      <c r="K53" s="608"/>
      <c r="L53" s="608"/>
      <c r="M53" s="608"/>
      <c r="N53" s="406"/>
      <c r="O53" s="406"/>
      <c r="V53" s="406"/>
      <c r="W53" s="406"/>
      <c r="X53" s="406"/>
      <c r="Y53" s="406"/>
      <c r="Z53" s="406"/>
      <c r="AA53" s="406"/>
      <c r="AI53" s="633"/>
      <c r="AJ53" s="633"/>
      <c r="AK53" s="633"/>
      <c r="AL53" s="633"/>
      <c r="AM53" s="633"/>
      <c r="AN53" s="633"/>
      <c r="AO53" s="512"/>
      <c r="AP53" s="497"/>
      <c r="AR53" s="491"/>
      <c r="AS53" s="491"/>
    </row>
    <row r="54" spans="1:45" x14ac:dyDescent="0.35">
      <c r="A54" s="517" t="s">
        <v>737</v>
      </c>
      <c r="B54" s="517" t="s">
        <v>15</v>
      </c>
      <c r="C54" s="517"/>
      <c r="D54" s="517" t="s">
        <v>545</v>
      </c>
      <c r="E54" s="161" t="s">
        <v>1047</v>
      </c>
      <c r="F54" s="402" t="s">
        <v>5</v>
      </c>
      <c r="G54" s="403">
        <f>63+2*10+12</f>
        <v>95</v>
      </c>
      <c r="H54" s="404">
        <f>Ühikhinnad!$C$11</f>
        <v>350</v>
      </c>
      <c r="I54" s="405">
        <f t="shared" si="113"/>
        <v>33250</v>
      </c>
      <c r="J54" s="612">
        <f t="shared" si="114"/>
        <v>38237.5</v>
      </c>
      <c r="K54" s="608"/>
      <c r="L54" s="608"/>
      <c r="M54" s="608"/>
      <c r="N54" s="406"/>
      <c r="O54" s="406"/>
      <c r="V54" s="406"/>
      <c r="W54" s="406"/>
      <c r="X54" s="406"/>
      <c r="Y54" s="406"/>
      <c r="Z54" s="406"/>
      <c r="AA54" s="406"/>
      <c r="AI54" s="633"/>
      <c r="AJ54" s="633"/>
      <c r="AK54" s="633"/>
      <c r="AL54" s="633"/>
      <c r="AM54" s="633"/>
      <c r="AN54" s="633"/>
      <c r="AO54" s="512"/>
      <c r="AP54" s="497"/>
      <c r="AR54" s="491"/>
      <c r="AS54" s="491"/>
    </row>
    <row r="55" spans="1:45" x14ac:dyDescent="0.35">
      <c r="A55" s="517"/>
      <c r="B55" s="517"/>
      <c r="C55" s="517"/>
      <c r="D55" s="517"/>
      <c r="E55" s="410" t="s">
        <v>588</v>
      </c>
      <c r="F55" s="411"/>
      <c r="G55" s="411"/>
      <c r="H55" s="412"/>
      <c r="I55" s="413"/>
      <c r="J55" s="413">
        <f>SUM(J56:J73)</f>
        <v>1358150</v>
      </c>
      <c r="K55" s="608"/>
      <c r="L55" s="608"/>
      <c r="M55" s="608"/>
      <c r="N55" s="414"/>
      <c r="O55" s="414"/>
      <c r="V55" s="414"/>
      <c r="W55" s="414"/>
      <c r="X55" s="414"/>
      <c r="Y55" s="414"/>
      <c r="Z55" s="414"/>
      <c r="AA55" s="414"/>
      <c r="AC55" s="375"/>
      <c r="AD55" s="375"/>
      <c r="AE55" s="375"/>
      <c r="AF55" s="375"/>
      <c r="AG55" s="375"/>
      <c r="AH55" s="375"/>
      <c r="AI55" s="414"/>
      <c r="AJ55" s="414"/>
      <c r="AK55" s="414"/>
      <c r="AL55" s="414"/>
      <c r="AM55" s="414"/>
      <c r="AN55" s="414"/>
    </row>
    <row r="56" spans="1:45" x14ac:dyDescent="0.35">
      <c r="A56" s="517" t="s">
        <v>737</v>
      </c>
      <c r="B56" s="517" t="s">
        <v>17</v>
      </c>
      <c r="C56" s="517"/>
      <c r="D56" s="517" t="s">
        <v>545</v>
      </c>
      <c r="E56" s="161" t="s">
        <v>953</v>
      </c>
      <c r="F56" s="144" t="s">
        <v>9</v>
      </c>
      <c r="G56" s="403">
        <f>615+210</f>
        <v>825</v>
      </c>
      <c r="H56" s="404">
        <f>Ühikhinnad!$C$4</f>
        <v>160</v>
      </c>
      <c r="I56" s="405">
        <f t="shared" ref="I56:I73" si="117">G56*H56</f>
        <v>132000</v>
      </c>
      <c r="J56" s="612">
        <f t="shared" ref="J56:J73" si="118">yld*I56</f>
        <v>151800</v>
      </c>
      <c r="K56" s="608"/>
      <c r="L56" s="608"/>
      <c r="M56" s="608"/>
      <c r="N56" s="418"/>
      <c r="O56" s="418"/>
      <c r="V56" s="418"/>
      <c r="W56" s="418"/>
      <c r="X56" s="418"/>
      <c r="Y56" s="418"/>
      <c r="Z56" s="418"/>
      <c r="AA56" s="418"/>
    </row>
    <row r="57" spans="1:45" x14ac:dyDescent="0.35">
      <c r="A57" s="517" t="s">
        <v>737</v>
      </c>
      <c r="B57" s="517" t="s">
        <v>17</v>
      </c>
      <c r="C57" s="517"/>
      <c r="D57" s="517" t="s">
        <v>545</v>
      </c>
      <c r="E57" s="161" t="s">
        <v>1066</v>
      </c>
      <c r="F57" s="144" t="s">
        <v>9</v>
      </c>
      <c r="G57" s="403">
        <v>10</v>
      </c>
      <c r="H57" s="404">
        <f>Ühikhinnad!$C$5</f>
        <v>130</v>
      </c>
      <c r="I57" s="405">
        <f t="shared" si="117"/>
        <v>1300</v>
      </c>
      <c r="J57" s="612">
        <f t="shared" si="118"/>
        <v>1494.9999999999998</v>
      </c>
      <c r="K57" s="608"/>
      <c r="L57" s="608"/>
      <c r="M57" s="608"/>
      <c r="N57" s="418"/>
      <c r="O57" s="418"/>
      <c r="V57" s="418"/>
      <c r="W57" s="418"/>
      <c r="X57" s="418"/>
      <c r="Y57" s="418"/>
      <c r="Z57" s="418"/>
      <c r="AA57" s="418"/>
    </row>
    <row r="58" spans="1:45" x14ac:dyDescent="0.35">
      <c r="A58" s="517" t="s">
        <v>737</v>
      </c>
      <c r="B58" s="517" t="s">
        <v>17</v>
      </c>
      <c r="C58" s="517"/>
      <c r="D58" s="517" t="s">
        <v>545</v>
      </c>
      <c r="E58" s="161" t="s">
        <v>1067</v>
      </c>
      <c r="F58" s="144" t="s">
        <v>585</v>
      </c>
      <c r="G58" s="403">
        <v>1</v>
      </c>
      <c r="H58" s="434">
        <f>Ühikhinnad!$C$8</f>
        <v>35000</v>
      </c>
      <c r="I58" s="405">
        <f t="shared" ref="I58" si="119">G58*H58</f>
        <v>35000</v>
      </c>
      <c r="J58" s="612">
        <f t="shared" ref="J58" si="120">yld*I58</f>
        <v>40250</v>
      </c>
      <c r="K58" s="608"/>
      <c r="L58" s="608"/>
      <c r="M58" s="608"/>
      <c r="N58" s="418"/>
      <c r="O58" s="418"/>
      <c r="V58" s="418"/>
      <c r="W58" s="418"/>
      <c r="X58" s="418"/>
      <c r="Y58" s="418"/>
      <c r="Z58" s="418"/>
      <c r="AA58" s="418"/>
    </row>
    <row r="59" spans="1:45" s="416" customFormat="1" x14ac:dyDescent="0.35">
      <c r="A59" s="517" t="s">
        <v>737</v>
      </c>
      <c r="B59" s="517" t="s">
        <v>17</v>
      </c>
      <c r="C59" s="517"/>
      <c r="D59" s="517" t="s">
        <v>545</v>
      </c>
      <c r="E59" s="161" t="s">
        <v>960</v>
      </c>
      <c r="F59" s="144" t="s">
        <v>5</v>
      </c>
      <c r="G59" s="425">
        <v>6</v>
      </c>
      <c r="H59" s="404">
        <f>Ühikhinnad!$C$12</f>
        <v>350</v>
      </c>
      <c r="I59" s="405">
        <f t="shared" si="117"/>
        <v>2100</v>
      </c>
      <c r="J59" s="612">
        <f t="shared" si="118"/>
        <v>2415</v>
      </c>
      <c r="K59" s="608"/>
      <c r="L59" s="608"/>
      <c r="M59" s="608"/>
      <c r="N59" s="418"/>
      <c r="O59" s="418"/>
      <c r="V59" s="418"/>
      <c r="W59" s="418"/>
      <c r="X59" s="418"/>
      <c r="Y59" s="418"/>
      <c r="Z59" s="418"/>
      <c r="AA59" s="418"/>
      <c r="AC59" s="634"/>
      <c r="AD59" s="634"/>
      <c r="AE59" s="634"/>
      <c r="AF59" s="634"/>
      <c r="AG59" s="634"/>
      <c r="AH59" s="634"/>
      <c r="AI59" s="418"/>
      <c r="AJ59" s="418"/>
      <c r="AK59" s="418"/>
      <c r="AL59" s="418"/>
      <c r="AM59" s="418"/>
      <c r="AN59" s="418"/>
    </row>
    <row r="60" spans="1:45" x14ac:dyDescent="0.35">
      <c r="A60" s="517" t="s">
        <v>737</v>
      </c>
      <c r="B60" s="517" t="s">
        <v>17</v>
      </c>
      <c r="C60" s="517"/>
      <c r="D60" s="517" t="s">
        <v>545</v>
      </c>
      <c r="E60" s="161" t="s">
        <v>955</v>
      </c>
      <c r="F60" s="144" t="s">
        <v>9</v>
      </c>
      <c r="G60" s="403">
        <v>375</v>
      </c>
      <c r="H60" s="404">
        <f>Ühikhinnad!$C$4</f>
        <v>160</v>
      </c>
      <c r="I60" s="405">
        <f t="shared" si="117"/>
        <v>60000</v>
      </c>
      <c r="J60" s="612">
        <f t="shared" si="118"/>
        <v>69000</v>
      </c>
      <c r="K60" s="608"/>
      <c r="L60" s="608"/>
      <c r="M60" s="608"/>
      <c r="N60" s="418"/>
      <c r="O60" s="418"/>
      <c r="V60" s="418"/>
      <c r="W60" s="418"/>
      <c r="X60" s="418"/>
      <c r="Y60" s="418"/>
      <c r="Z60" s="418"/>
      <c r="AA60" s="418"/>
    </row>
    <row r="61" spans="1:45" x14ac:dyDescent="0.35">
      <c r="A61" s="517" t="s">
        <v>737</v>
      </c>
      <c r="B61" s="517" t="s">
        <v>17</v>
      </c>
      <c r="C61" s="517"/>
      <c r="D61" s="517" t="s">
        <v>545</v>
      </c>
      <c r="E61" s="161" t="s">
        <v>956</v>
      </c>
      <c r="F61" s="144" t="s">
        <v>9</v>
      </c>
      <c r="G61" s="403">
        <v>750</v>
      </c>
      <c r="H61" s="404">
        <f>Ühikhinnad!$C$5</f>
        <v>130</v>
      </c>
      <c r="I61" s="405">
        <f t="shared" si="117"/>
        <v>97500</v>
      </c>
      <c r="J61" s="612">
        <f t="shared" si="118"/>
        <v>112124.99999999999</v>
      </c>
      <c r="K61" s="608"/>
      <c r="L61" s="608"/>
      <c r="M61" s="608"/>
      <c r="N61" s="418"/>
      <c r="O61" s="418"/>
      <c r="V61" s="418"/>
      <c r="W61" s="418"/>
      <c r="X61" s="418"/>
      <c r="Y61" s="418"/>
      <c r="Z61" s="418"/>
      <c r="AA61" s="418"/>
    </row>
    <row r="62" spans="1:45" x14ac:dyDescent="0.2">
      <c r="A62" s="517" t="s">
        <v>737</v>
      </c>
      <c r="B62" s="517" t="s">
        <v>17</v>
      </c>
      <c r="C62" s="517"/>
      <c r="D62" s="517" t="s">
        <v>545</v>
      </c>
      <c r="E62" s="161" t="s">
        <v>957</v>
      </c>
      <c r="F62" s="144" t="s">
        <v>585</v>
      </c>
      <c r="G62" s="403">
        <v>2</v>
      </c>
      <c r="H62" s="434">
        <f>Ühikhinnad!$C$7</f>
        <v>25000</v>
      </c>
      <c r="I62" s="405">
        <f t="shared" si="117"/>
        <v>50000</v>
      </c>
      <c r="J62" s="612">
        <f t="shared" si="118"/>
        <v>57499.999999999993</v>
      </c>
      <c r="K62" s="608"/>
      <c r="L62" s="608"/>
      <c r="M62" s="608"/>
      <c r="N62" s="418"/>
      <c r="O62" s="418"/>
      <c r="V62" s="418"/>
      <c r="W62" s="418"/>
      <c r="X62" s="418"/>
      <c r="Y62" s="418"/>
      <c r="Z62" s="418"/>
      <c r="AA62" s="418"/>
      <c r="AO62" s="512"/>
      <c r="AP62" s="498"/>
    </row>
    <row r="63" spans="1:45" s="416" customFormat="1" x14ac:dyDescent="0.35">
      <c r="A63" s="517" t="s">
        <v>737</v>
      </c>
      <c r="B63" s="517" t="s">
        <v>17</v>
      </c>
      <c r="C63" s="517"/>
      <c r="D63" s="517" t="s">
        <v>545</v>
      </c>
      <c r="E63" s="161" t="s">
        <v>961</v>
      </c>
      <c r="F63" s="144" t="s">
        <v>5</v>
      </c>
      <c r="G63" s="425">
        <v>10</v>
      </c>
      <c r="H63" s="404">
        <f>Ühikhinnad!$C$12</f>
        <v>350</v>
      </c>
      <c r="I63" s="405">
        <f t="shared" si="117"/>
        <v>3500</v>
      </c>
      <c r="J63" s="612">
        <f t="shared" si="118"/>
        <v>4024.9999999999995</v>
      </c>
      <c r="K63" s="608"/>
      <c r="L63" s="608"/>
      <c r="M63" s="608"/>
      <c r="N63" s="418"/>
      <c r="O63" s="418"/>
      <c r="V63" s="418"/>
      <c r="W63" s="418"/>
      <c r="X63" s="418"/>
      <c r="Y63" s="418"/>
      <c r="Z63" s="418"/>
      <c r="AA63" s="418"/>
      <c r="AC63" s="634"/>
      <c r="AD63" s="634"/>
      <c r="AE63" s="634"/>
      <c r="AF63" s="634"/>
      <c r="AG63" s="634"/>
      <c r="AH63" s="634"/>
      <c r="AI63" s="418"/>
      <c r="AJ63" s="418"/>
      <c r="AK63" s="418"/>
      <c r="AL63" s="418"/>
      <c r="AM63" s="418"/>
      <c r="AN63" s="418"/>
      <c r="AO63" s="514"/>
      <c r="AP63" s="490"/>
      <c r="AQ63" s="489"/>
    </row>
    <row r="64" spans="1:45" x14ac:dyDescent="0.2">
      <c r="A64" s="517" t="s">
        <v>737</v>
      </c>
      <c r="B64" s="517" t="s">
        <v>17</v>
      </c>
      <c r="C64" s="517"/>
      <c r="D64" s="517" t="s">
        <v>545</v>
      </c>
      <c r="E64" s="161" t="s">
        <v>963</v>
      </c>
      <c r="F64" s="144" t="s">
        <v>9</v>
      </c>
      <c r="G64" s="403">
        <v>350</v>
      </c>
      <c r="H64" s="404">
        <f>Ühikhinnad!$C$4</f>
        <v>160</v>
      </c>
      <c r="I64" s="405">
        <f t="shared" si="117"/>
        <v>56000</v>
      </c>
      <c r="J64" s="612">
        <f t="shared" si="118"/>
        <v>64399.999999999993</v>
      </c>
      <c r="K64" s="608"/>
      <c r="L64" s="608"/>
      <c r="M64" s="608"/>
      <c r="N64" s="418"/>
      <c r="O64" s="418"/>
      <c r="V64" s="418"/>
      <c r="W64" s="418"/>
      <c r="X64" s="418"/>
      <c r="Y64" s="418"/>
      <c r="Z64" s="418"/>
      <c r="AA64" s="418"/>
      <c r="AO64" s="512"/>
      <c r="AP64" s="498"/>
    </row>
    <row r="65" spans="1:43" x14ac:dyDescent="0.2">
      <c r="A65" s="517" t="s">
        <v>737</v>
      </c>
      <c r="B65" s="517" t="s">
        <v>17</v>
      </c>
      <c r="C65" s="517"/>
      <c r="D65" s="517" t="s">
        <v>545</v>
      </c>
      <c r="E65" s="161" t="s">
        <v>964</v>
      </c>
      <c r="F65" s="144" t="s">
        <v>9</v>
      </c>
      <c r="G65" s="403">
        <v>1030</v>
      </c>
      <c r="H65" s="404">
        <f>Ühikhinnad!$C$5</f>
        <v>130</v>
      </c>
      <c r="I65" s="405">
        <f t="shared" si="117"/>
        <v>133900</v>
      </c>
      <c r="J65" s="612">
        <f t="shared" si="118"/>
        <v>153985</v>
      </c>
      <c r="K65" s="608"/>
      <c r="L65" s="608"/>
      <c r="M65" s="608"/>
      <c r="N65" s="418"/>
      <c r="O65" s="418"/>
      <c r="V65" s="418"/>
      <c r="W65" s="418"/>
      <c r="X65" s="418"/>
      <c r="Y65" s="418"/>
      <c r="Z65" s="418"/>
      <c r="AA65" s="418"/>
      <c r="AO65" s="512"/>
      <c r="AP65" s="498"/>
    </row>
    <row r="66" spans="1:43" x14ac:dyDescent="0.2">
      <c r="A66" s="517" t="s">
        <v>737</v>
      </c>
      <c r="B66" s="517" t="s">
        <v>17</v>
      </c>
      <c r="C66" s="517"/>
      <c r="D66" s="517" t="s">
        <v>545</v>
      </c>
      <c r="E66" s="161" t="s">
        <v>997</v>
      </c>
      <c r="F66" s="144" t="s">
        <v>585</v>
      </c>
      <c r="G66" s="403">
        <v>1</v>
      </c>
      <c r="H66" s="434">
        <v>20000</v>
      </c>
      <c r="I66" s="405">
        <f t="shared" si="117"/>
        <v>20000</v>
      </c>
      <c r="J66" s="612">
        <f t="shared" si="118"/>
        <v>23000</v>
      </c>
      <c r="K66" s="608"/>
      <c r="L66" s="608"/>
      <c r="M66" s="608"/>
      <c r="N66" s="418"/>
      <c r="O66" s="418"/>
      <c r="V66" s="418"/>
      <c r="W66" s="418"/>
      <c r="X66" s="418"/>
      <c r="Y66" s="418"/>
      <c r="Z66" s="418"/>
      <c r="AA66" s="418"/>
      <c r="AO66" s="512"/>
      <c r="AP66" s="498"/>
    </row>
    <row r="67" spans="1:43" x14ac:dyDescent="0.2">
      <c r="A67" s="517" t="s">
        <v>737</v>
      </c>
      <c r="B67" s="517" t="s">
        <v>17</v>
      </c>
      <c r="C67" s="517"/>
      <c r="D67" s="517" t="s">
        <v>545</v>
      </c>
      <c r="E67" s="161" t="s">
        <v>968</v>
      </c>
      <c r="F67" s="144" t="s">
        <v>585</v>
      </c>
      <c r="G67" s="403">
        <v>1</v>
      </c>
      <c r="H67" s="434">
        <f>Ühikhinnad!$C$7</f>
        <v>25000</v>
      </c>
      <c r="I67" s="405">
        <f t="shared" si="117"/>
        <v>25000</v>
      </c>
      <c r="J67" s="612">
        <f t="shared" si="118"/>
        <v>28749.999999999996</v>
      </c>
      <c r="K67" s="608"/>
      <c r="L67" s="608"/>
      <c r="M67" s="608"/>
      <c r="N67" s="418"/>
      <c r="O67" s="418"/>
      <c r="V67" s="418"/>
      <c r="W67" s="418"/>
      <c r="X67" s="418"/>
      <c r="Y67" s="418"/>
      <c r="Z67" s="418"/>
      <c r="AA67" s="418"/>
      <c r="AO67" s="512"/>
      <c r="AP67" s="498"/>
    </row>
    <row r="68" spans="1:43" x14ac:dyDescent="0.2">
      <c r="A68" s="517" t="s">
        <v>737</v>
      </c>
      <c r="B68" s="517" t="s">
        <v>17</v>
      </c>
      <c r="C68" s="517"/>
      <c r="D68" s="517" t="s">
        <v>545</v>
      </c>
      <c r="E68" s="161" t="s">
        <v>969</v>
      </c>
      <c r="F68" s="144" t="s">
        <v>585</v>
      </c>
      <c r="G68" s="403">
        <v>1</v>
      </c>
      <c r="H68" s="434">
        <f>Ühikhinnad!$C$8</f>
        <v>35000</v>
      </c>
      <c r="I68" s="405">
        <f t="shared" si="117"/>
        <v>35000</v>
      </c>
      <c r="J68" s="612">
        <f t="shared" si="118"/>
        <v>40250</v>
      </c>
      <c r="K68" s="608"/>
      <c r="L68" s="608"/>
      <c r="M68" s="608"/>
      <c r="N68" s="418"/>
      <c r="O68" s="418"/>
      <c r="V68" s="418"/>
      <c r="W68" s="418"/>
      <c r="X68" s="418"/>
      <c r="Y68" s="418"/>
      <c r="Z68" s="418"/>
      <c r="AA68" s="418"/>
      <c r="AO68" s="512"/>
      <c r="AP68" s="498"/>
    </row>
    <row r="69" spans="1:43" s="416" customFormat="1" x14ac:dyDescent="0.35">
      <c r="A69" s="517" t="s">
        <v>737</v>
      </c>
      <c r="B69" s="517" t="s">
        <v>17</v>
      </c>
      <c r="C69" s="517"/>
      <c r="D69" s="517" t="s">
        <v>545</v>
      </c>
      <c r="E69" s="161" t="s">
        <v>962</v>
      </c>
      <c r="F69" s="144" t="s">
        <v>5</v>
      </c>
      <c r="G69" s="425">
        <v>10</v>
      </c>
      <c r="H69" s="404">
        <f>Ühikhinnad!$C$12</f>
        <v>350</v>
      </c>
      <c r="I69" s="405">
        <f t="shared" si="117"/>
        <v>3500</v>
      </c>
      <c r="J69" s="612">
        <f t="shared" si="118"/>
        <v>4024.9999999999995</v>
      </c>
      <c r="K69" s="608"/>
      <c r="L69" s="608"/>
      <c r="M69" s="608"/>
      <c r="N69" s="418"/>
      <c r="O69" s="418"/>
      <c r="V69" s="418"/>
      <c r="W69" s="418"/>
      <c r="X69" s="418"/>
      <c r="Y69" s="418"/>
      <c r="Z69" s="418"/>
      <c r="AA69" s="418"/>
      <c r="AC69" s="634"/>
      <c r="AD69" s="634"/>
      <c r="AE69" s="634"/>
      <c r="AF69" s="634"/>
      <c r="AG69" s="634"/>
      <c r="AH69" s="634"/>
      <c r="AI69" s="418"/>
      <c r="AJ69" s="418"/>
      <c r="AK69" s="418"/>
      <c r="AL69" s="418"/>
      <c r="AM69" s="418"/>
      <c r="AN69" s="418"/>
      <c r="AO69" s="514"/>
      <c r="AP69" s="490"/>
      <c r="AQ69" s="489"/>
    </row>
    <row r="70" spans="1:43" x14ac:dyDescent="0.2">
      <c r="A70" s="517" t="s">
        <v>737</v>
      </c>
      <c r="B70" s="517" t="s">
        <v>17</v>
      </c>
      <c r="C70" s="517"/>
      <c r="D70" s="517" t="s">
        <v>545</v>
      </c>
      <c r="E70" s="161" t="s">
        <v>965</v>
      </c>
      <c r="F70" s="144" t="s">
        <v>9</v>
      </c>
      <c r="G70" s="403">
        <v>2590</v>
      </c>
      <c r="H70" s="404">
        <f>Ühikhinnad!$C$4</f>
        <v>160</v>
      </c>
      <c r="I70" s="405">
        <f t="shared" si="117"/>
        <v>414400</v>
      </c>
      <c r="J70" s="612">
        <f t="shared" si="118"/>
        <v>476559.99999999994</v>
      </c>
      <c r="K70" s="608"/>
      <c r="L70" s="608"/>
      <c r="M70" s="608"/>
      <c r="N70" s="418"/>
      <c r="O70" s="418"/>
      <c r="V70" s="418"/>
      <c r="W70" s="418"/>
      <c r="X70" s="418"/>
      <c r="Y70" s="418"/>
      <c r="Z70" s="418"/>
      <c r="AA70" s="418"/>
      <c r="AO70" s="512"/>
      <c r="AP70" s="498"/>
    </row>
    <row r="71" spans="1:43" x14ac:dyDescent="0.2">
      <c r="A71" s="517" t="s">
        <v>737</v>
      </c>
      <c r="B71" s="517" t="s">
        <v>17</v>
      </c>
      <c r="C71" s="517"/>
      <c r="D71" s="517" t="s">
        <v>545</v>
      </c>
      <c r="E71" s="161" t="s">
        <v>966</v>
      </c>
      <c r="F71" s="144" t="s">
        <v>9</v>
      </c>
      <c r="G71" s="403">
        <v>335</v>
      </c>
      <c r="H71" s="404">
        <f>Ühikhinnad!$C$5</f>
        <v>130</v>
      </c>
      <c r="I71" s="405">
        <f t="shared" si="117"/>
        <v>43550</v>
      </c>
      <c r="J71" s="612">
        <f t="shared" si="118"/>
        <v>50082.499999999993</v>
      </c>
      <c r="K71" s="608"/>
      <c r="L71" s="608"/>
      <c r="M71" s="608"/>
      <c r="N71" s="418"/>
      <c r="O71" s="418"/>
      <c r="V71" s="418"/>
      <c r="W71" s="418"/>
      <c r="X71" s="418"/>
      <c r="Y71" s="418"/>
      <c r="Z71" s="418"/>
      <c r="AA71" s="418"/>
      <c r="AO71" s="512"/>
      <c r="AP71" s="498"/>
    </row>
    <row r="72" spans="1:43" x14ac:dyDescent="0.2">
      <c r="A72" s="517" t="s">
        <v>737</v>
      </c>
      <c r="B72" s="517" t="s">
        <v>17</v>
      </c>
      <c r="C72" s="517"/>
      <c r="D72" s="517" t="s">
        <v>545</v>
      </c>
      <c r="E72" s="161" t="s">
        <v>967</v>
      </c>
      <c r="F72" s="144" t="s">
        <v>585</v>
      </c>
      <c r="G72" s="403">
        <v>1</v>
      </c>
      <c r="H72" s="434">
        <f>Ühikhinnad!$C$8</f>
        <v>35000</v>
      </c>
      <c r="I72" s="405">
        <f t="shared" si="117"/>
        <v>35000</v>
      </c>
      <c r="J72" s="612">
        <f t="shared" si="118"/>
        <v>40250</v>
      </c>
      <c r="K72" s="608"/>
      <c r="L72" s="608"/>
      <c r="M72" s="608"/>
      <c r="N72" s="418"/>
      <c r="O72" s="418"/>
      <c r="V72" s="418"/>
      <c r="W72" s="418"/>
      <c r="X72" s="418"/>
      <c r="Y72" s="418"/>
      <c r="Z72" s="418"/>
      <c r="AA72" s="418"/>
      <c r="AO72" s="512"/>
      <c r="AP72" s="498"/>
    </row>
    <row r="73" spans="1:43" s="416" customFormat="1" x14ac:dyDescent="0.35">
      <c r="A73" s="517" t="s">
        <v>737</v>
      </c>
      <c r="B73" s="517" t="s">
        <v>17</v>
      </c>
      <c r="C73" s="517"/>
      <c r="D73" s="517" t="s">
        <v>545</v>
      </c>
      <c r="E73" s="161" t="s">
        <v>1047</v>
      </c>
      <c r="F73" s="402" t="s">
        <v>5</v>
      </c>
      <c r="G73" s="403">
        <f>63+2*10+12</f>
        <v>95</v>
      </c>
      <c r="H73" s="404">
        <f>Ühikhinnad!$C$12</f>
        <v>350</v>
      </c>
      <c r="I73" s="405">
        <f t="shared" si="117"/>
        <v>33250</v>
      </c>
      <c r="J73" s="612">
        <f t="shared" si="118"/>
        <v>38237.5</v>
      </c>
      <c r="K73" s="608"/>
      <c r="L73" s="608"/>
      <c r="M73" s="608"/>
      <c r="N73" s="500"/>
      <c r="O73" s="418"/>
      <c r="V73" s="418"/>
      <c r="W73" s="418"/>
      <c r="X73" s="418"/>
      <c r="Y73" s="418"/>
      <c r="Z73" s="418"/>
      <c r="AA73" s="418"/>
      <c r="AI73" s="418"/>
      <c r="AJ73" s="418"/>
      <c r="AK73" s="418"/>
      <c r="AL73" s="418"/>
      <c r="AM73" s="418"/>
      <c r="AN73" s="418"/>
    </row>
    <row r="74" spans="1:43" ht="15.5" thickBot="1" x14ac:dyDescent="0.4">
      <c r="E74" s="384" t="s">
        <v>603</v>
      </c>
      <c r="F74" s="384"/>
      <c r="G74" s="503"/>
      <c r="H74" s="426"/>
      <c r="I74" s="384"/>
      <c r="J74" s="389">
        <f>J75+J87</f>
        <v>663320</v>
      </c>
      <c r="K74" s="620">
        <f t="shared" ref="K74:M74" si="121">K75+K87</f>
        <v>0</v>
      </c>
      <c r="L74" s="620">
        <f t="shared" si="121"/>
        <v>596988</v>
      </c>
      <c r="M74" s="620">
        <f t="shared" si="121"/>
        <v>66332</v>
      </c>
      <c r="N74" s="375" t="str">
        <f>IF(J74=K74+L74+M74,"OK","viga")</f>
        <v>OK</v>
      </c>
      <c r="AC74" s="375"/>
      <c r="AD74" s="375"/>
      <c r="AE74" s="375"/>
      <c r="AF74" s="375"/>
      <c r="AG74" s="375"/>
      <c r="AH74" s="375"/>
      <c r="AI74" s="375"/>
      <c r="AJ74" s="375"/>
      <c r="AK74" s="375"/>
      <c r="AL74" s="375"/>
      <c r="AM74" s="375"/>
      <c r="AN74" s="375"/>
    </row>
    <row r="75" spans="1:43" ht="10.5" thickTop="1" x14ac:dyDescent="0.35">
      <c r="E75" s="391" t="s">
        <v>581</v>
      </c>
      <c r="F75" s="392"/>
      <c r="G75" s="392"/>
      <c r="H75" s="393"/>
      <c r="I75" s="394"/>
      <c r="J75" s="610">
        <f>J77+J82</f>
        <v>663320</v>
      </c>
      <c r="K75" s="617">
        <f t="shared" ref="K75:M75" si="122">K77+K82</f>
        <v>0</v>
      </c>
      <c r="L75" s="617">
        <f t="shared" si="122"/>
        <v>596988</v>
      </c>
      <c r="M75" s="617">
        <f t="shared" si="122"/>
        <v>66332</v>
      </c>
      <c r="AC75" s="375"/>
      <c r="AD75" s="375"/>
      <c r="AE75" s="375"/>
      <c r="AF75" s="375"/>
      <c r="AG75" s="375"/>
      <c r="AH75" s="375"/>
      <c r="AI75" s="375"/>
      <c r="AJ75" s="375"/>
      <c r="AK75" s="375"/>
      <c r="AL75" s="375"/>
      <c r="AM75" s="375"/>
      <c r="AN75" s="375"/>
    </row>
    <row r="76" spans="1:43" x14ac:dyDescent="0.35">
      <c r="A76" s="376" t="s">
        <v>8</v>
      </c>
      <c r="B76" s="376" t="s">
        <v>14</v>
      </c>
      <c r="C76" s="376" t="s">
        <v>13</v>
      </c>
      <c r="D76" s="376" t="s">
        <v>6</v>
      </c>
      <c r="E76" s="377" t="s">
        <v>0</v>
      </c>
      <c r="F76" s="378" t="s">
        <v>1</v>
      </c>
      <c r="G76" s="379" t="s">
        <v>2</v>
      </c>
      <c r="H76" s="380" t="s">
        <v>3</v>
      </c>
      <c r="I76" s="380" t="s">
        <v>4</v>
      </c>
      <c r="J76" s="609" t="s">
        <v>52</v>
      </c>
      <c r="K76" s="623"/>
      <c r="L76" s="627">
        <v>0.9</v>
      </c>
      <c r="M76" s="627">
        <v>0.1</v>
      </c>
      <c r="N76" s="390"/>
      <c r="O76" s="395" t="s">
        <v>181</v>
      </c>
      <c r="P76" s="382">
        <v>2024</v>
      </c>
      <c r="Q76" s="382">
        <v>2025</v>
      </c>
      <c r="R76" s="382">
        <v>2026</v>
      </c>
      <c r="S76" s="382">
        <v>2027</v>
      </c>
      <c r="T76" s="383">
        <v>2028</v>
      </c>
      <c r="U76" s="383">
        <v>2029</v>
      </c>
      <c r="V76" s="383">
        <v>2030</v>
      </c>
      <c r="W76" s="383">
        <v>2031</v>
      </c>
      <c r="X76" s="383">
        <v>2032</v>
      </c>
      <c r="Y76" s="383">
        <v>2033</v>
      </c>
      <c r="Z76" s="383">
        <v>2034</v>
      </c>
      <c r="AA76" s="383">
        <v>2035</v>
      </c>
      <c r="AC76" s="382">
        <v>2024</v>
      </c>
      <c r="AD76" s="382">
        <v>2025</v>
      </c>
      <c r="AE76" s="382">
        <v>2026</v>
      </c>
      <c r="AF76" s="382">
        <v>2027</v>
      </c>
      <c r="AG76" s="383">
        <v>2028</v>
      </c>
      <c r="AH76" s="383">
        <v>2029</v>
      </c>
      <c r="AI76" s="383">
        <v>2030</v>
      </c>
      <c r="AJ76" s="383">
        <v>2031</v>
      </c>
      <c r="AK76" s="383">
        <v>2032</v>
      </c>
      <c r="AL76" s="383">
        <v>2033</v>
      </c>
      <c r="AM76" s="383">
        <v>2034</v>
      </c>
      <c r="AN76" s="383">
        <v>2035</v>
      </c>
    </row>
    <row r="77" spans="1:43" x14ac:dyDescent="0.35">
      <c r="E77" s="396" t="s">
        <v>582</v>
      </c>
      <c r="F77" s="397"/>
      <c r="G77" s="397"/>
      <c r="H77" s="398"/>
      <c r="I77" s="399"/>
      <c r="J77" s="399">
        <f>SUM(J78:J81)</f>
        <v>312685</v>
      </c>
      <c r="K77" s="621">
        <f t="shared" ref="K77:M77" si="123">SUM(K78:K81)</f>
        <v>0</v>
      </c>
      <c r="L77" s="621">
        <f t="shared" si="123"/>
        <v>281416.5</v>
      </c>
      <c r="M77" s="621">
        <f t="shared" si="123"/>
        <v>31268.5</v>
      </c>
      <c r="O77" s="400"/>
      <c r="P77" s="400"/>
      <c r="Q77" s="400"/>
      <c r="R77" s="400"/>
      <c r="S77" s="400"/>
      <c r="T77" s="400"/>
      <c r="U77" s="400"/>
      <c r="V77" s="400"/>
      <c r="W77" s="400"/>
      <c r="X77" s="400"/>
      <c r="Y77" s="400"/>
      <c r="Z77" s="400"/>
      <c r="AA77" s="400"/>
      <c r="AC77" s="400"/>
      <c r="AD77" s="400"/>
      <c r="AE77" s="400"/>
      <c r="AF77" s="400"/>
      <c r="AG77" s="400"/>
      <c r="AH77" s="400"/>
      <c r="AI77" s="400"/>
      <c r="AJ77" s="400"/>
      <c r="AK77" s="400"/>
      <c r="AL77" s="400"/>
      <c r="AM77" s="400"/>
      <c r="AN77" s="400"/>
    </row>
    <row r="78" spans="1:43" ht="10.25" customHeight="1" x14ac:dyDescent="0.2">
      <c r="A78" s="401" t="s">
        <v>583</v>
      </c>
      <c r="B78" s="401" t="s">
        <v>15</v>
      </c>
      <c r="C78" s="401" t="s">
        <v>745</v>
      </c>
      <c r="D78" s="401" t="s">
        <v>274</v>
      </c>
      <c r="E78" s="501" t="s">
        <v>743</v>
      </c>
      <c r="F78" s="402" t="s">
        <v>9</v>
      </c>
      <c r="G78" s="403">
        <v>1000</v>
      </c>
      <c r="H78" s="404">
        <f>Ühikhinnad!$C$3</f>
        <v>80</v>
      </c>
      <c r="I78" s="405">
        <f>G78*H78</f>
        <v>80000</v>
      </c>
      <c r="J78" s="612">
        <f>yld*I78</f>
        <v>92000</v>
      </c>
      <c r="K78" s="608">
        <f t="shared" ref="K78:K81" si="124">J78-L78-M78</f>
        <v>0</v>
      </c>
      <c r="L78" s="608">
        <f>$J78*L$76</f>
        <v>82800</v>
      </c>
      <c r="M78" s="608">
        <f>$J78*M$76</f>
        <v>9200</v>
      </c>
      <c r="N78" s="406"/>
      <c r="O78" s="407">
        <v>50</v>
      </c>
      <c r="P78" s="408">
        <f t="shared" ref="P78:Q81" si="125">$J78/2</f>
        <v>46000</v>
      </c>
      <c r="Q78" s="408">
        <f t="shared" si="125"/>
        <v>46000</v>
      </c>
      <c r="R78" s="408"/>
      <c r="S78" s="408"/>
      <c r="T78" s="408"/>
      <c r="U78" s="408"/>
      <c r="V78" s="408"/>
      <c r="W78" s="408"/>
      <c r="X78" s="408"/>
      <c r="Y78" s="408"/>
      <c r="Z78" s="408"/>
      <c r="AA78" s="408"/>
      <c r="AC78" s="632">
        <f>IFERROR(P78*$K78/$J78,0)</f>
        <v>0</v>
      </c>
      <c r="AD78" s="632">
        <f t="shared" ref="AD78" si="126">IFERROR(Q78*$K78/$J78,0)</f>
        <v>0</v>
      </c>
      <c r="AE78" s="632">
        <f t="shared" ref="AE78" si="127">IFERROR(R78*$K78/$J78,0)</f>
        <v>0</v>
      </c>
      <c r="AF78" s="632">
        <f t="shared" ref="AF78" si="128">IFERROR(S78*$K78/$J78,0)</f>
        <v>0</v>
      </c>
      <c r="AG78" s="632">
        <f t="shared" ref="AG78" si="129">IFERROR(T78*$K78/$J78,0)</f>
        <v>0</v>
      </c>
      <c r="AH78" s="632">
        <f t="shared" ref="AH78" si="130">IFERROR(U78*$K78/$J78,0)</f>
        <v>0</v>
      </c>
      <c r="AI78" s="632">
        <f t="shared" ref="AI78" si="131">IFERROR(V78*$K78/$J78,0)</f>
        <v>0</v>
      </c>
      <c r="AJ78" s="632">
        <f t="shared" ref="AJ78" si="132">IFERROR(W78*$K78/$J78,0)</f>
        <v>0</v>
      </c>
      <c r="AK78" s="632">
        <f t="shared" ref="AK78" si="133">IFERROR(X78*$K78/$J78,0)</f>
        <v>0</v>
      </c>
      <c r="AL78" s="632">
        <f t="shared" ref="AL78" si="134">IFERROR(Y78*$K78/$J78,0)</f>
        <v>0</v>
      </c>
      <c r="AM78" s="632">
        <f t="shared" ref="AM78" si="135">IFERROR(Z78*$K78/$J78,0)</f>
        <v>0</v>
      </c>
      <c r="AN78" s="632">
        <f t="shared" ref="AN78" si="136">IFERROR(AA78*$K78/$J78,0)</f>
        <v>0</v>
      </c>
    </row>
    <row r="79" spans="1:43" ht="10.25" customHeight="1" x14ac:dyDescent="0.2">
      <c r="A79" s="401" t="s">
        <v>583</v>
      </c>
      <c r="B79" s="401" t="s">
        <v>15</v>
      </c>
      <c r="C79" s="401" t="s">
        <v>745</v>
      </c>
      <c r="D79" s="401" t="s">
        <v>274</v>
      </c>
      <c r="E79" s="501" t="s">
        <v>739</v>
      </c>
      <c r="F79" s="402" t="s">
        <v>9</v>
      </c>
      <c r="G79" s="504">
        <v>700</v>
      </c>
      <c r="H79" s="404">
        <f>Ühikhinnad!$C$3</f>
        <v>80</v>
      </c>
      <c r="I79" s="405">
        <f>G79*H79</f>
        <v>56000</v>
      </c>
      <c r="J79" s="612">
        <f>yld*I79</f>
        <v>64399.999999999993</v>
      </c>
      <c r="K79" s="608">
        <f t="shared" si="124"/>
        <v>0</v>
      </c>
      <c r="L79" s="608">
        <f t="shared" ref="L79:M81" si="137">$J79*L$76</f>
        <v>57959.999999999993</v>
      </c>
      <c r="M79" s="608">
        <f t="shared" si="137"/>
        <v>6440</v>
      </c>
      <c r="N79" s="406"/>
      <c r="O79" s="407">
        <v>50</v>
      </c>
      <c r="P79" s="408">
        <f t="shared" si="125"/>
        <v>32199.999999999996</v>
      </c>
      <c r="Q79" s="408">
        <f t="shared" si="125"/>
        <v>32199.999999999996</v>
      </c>
      <c r="R79" s="408"/>
      <c r="S79" s="408"/>
      <c r="T79" s="408"/>
      <c r="U79" s="408"/>
      <c r="V79" s="408"/>
      <c r="W79" s="408"/>
      <c r="X79" s="408"/>
      <c r="Y79" s="408"/>
      <c r="Z79" s="408"/>
      <c r="AA79" s="408"/>
      <c r="AC79" s="632">
        <f t="shared" ref="AC79:AC81" si="138">IFERROR(P79*$K79/$J79,0)</f>
        <v>0</v>
      </c>
      <c r="AD79" s="632">
        <f t="shared" ref="AD79:AD81" si="139">IFERROR(Q79*$K79/$J79,0)</f>
        <v>0</v>
      </c>
      <c r="AE79" s="632">
        <f t="shared" ref="AE79:AE81" si="140">IFERROR(R79*$K79/$J79,0)</f>
        <v>0</v>
      </c>
      <c r="AF79" s="632">
        <f t="shared" ref="AF79:AF81" si="141">IFERROR(S79*$K79/$J79,0)</f>
        <v>0</v>
      </c>
      <c r="AG79" s="632">
        <f t="shared" ref="AG79:AG81" si="142">IFERROR(T79*$K79/$J79,0)</f>
        <v>0</v>
      </c>
      <c r="AH79" s="632">
        <f t="shared" ref="AH79:AH81" si="143">IFERROR(U79*$K79/$J79,0)</f>
        <v>0</v>
      </c>
      <c r="AI79" s="632">
        <f t="shared" ref="AI79:AI81" si="144">IFERROR(V79*$K79/$J79,0)</f>
        <v>0</v>
      </c>
      <c r="AJ79" s="632">
        <f t="shared" ref="AJ79:AJ81" si="145">IFERROR(W79*$K79/$J79,0)</f>
        <v>0</v>
      </c>
      <c r="AK79" s="632">
        <f t="shared" ref="AK79:AK81" si="146">IFERROR(X79*$K79/$J79,0)</f>
        <v>0</v>
      </c>
      <c r="AL79" s="632">
        <f t="shared" ref="AL79:AL81" si="147">IFERROR(Y79*$K79/$J79,0)</f>
        <v>0</v>
      </c>
      <c r="AM79" s="632">
        <f t="shared" ref="AM79:AM81" si="148">IFERROR(Z79*$K79/$J79,0)</f>
        <v>0</v>
      </c>
      <c r="AN79" s="632">
        <f t="shared" ref="AN79:AN81" si="149">IFERROR(AA79*$K79/$J79,0)</f>
        <v>0</v>
      </c>
    </row>
    <row r="80" spans="1:43" ht="10.25" customHeight="1" x14ac:dyDescent="0.2">
      <c r="A80" s="401" t="s">
        <v>583</v>
      </c>
      <c r="B80" s="401" t="s">
        <v>15</v>
      </c>
      <c r="C80" s="401" t="s">
        <v>745</v>
      </c>
      <c r="D80" s="401" t="s">
        <v>274</v>
      </c>
      <c r="E80" s="501" t="s">
        <v>740</v>
      </c>
      <c r="F80" s="402" t="s">
        <v>9</v>
      </c>
      <c r="G80" s="504">
        <v>900</v>
      </c>
      <c r="H80" s="404">
        <f>Ühikhinnad!$C$2</f>
        <v>130</v>
      </c>
      <c r="I80" s="405">
        <f>G80*H80</f>
        <v>117000</v>
      </c>
      <c r="J80" s="612">
        <f>yld*I80</f>
        <v>134550</v>
      </c>
      <c r="K80" s="608">
        <f t="shared" si="124"/>
        <v>0</v>
      </c>
      <c r="L80" s="608">
        <f t="shared" si="137"/>
        <v>121095</v>
      </c>
      <c r="M80" s="608">
        <f t="shared" si="137"/>
        <v>13455</v>
      </c>
      <c r="O80" s="407">
        <v>50</v>
      </c>
      <c r="P80" s="408">
        <f t="shared" si="125"/>
        <v>67275</v>
      </c>
      <c r="Q80" s="408">
        <f t="shared" si="125"/>
        <v>67275</v>
      </c>
      <c r="R80" s="408"/>
      <c r="S80" s="408"/>
      <c r="T80" s="408"/>
      <c r="U80" s="408"/>
      <c r="V80" s="408"/>
      <c r="W80" s="408"/>
      <c r="X80" s="408"/>
      <c r="Y80" s="408"/>
      <c r="Z80" s="408"/>
      <c r="AA80" s="408"/>
      <c r="AC80" s="632">
        <f t="shared" si="138"/>
        <v>0</v>
      </c>
      <c r="AD80" s="632">
        <f t="shared" si="139"/>
        <v>0</v>
      </c>
      <c r="AE80" s="632">
        <f t="shared" si="140"/>
        <v>0</v>
      </c>
      <c r="AF80" s="632">
        <f t="shared" si="141"/>
        <v>0</v>
      </c>
      <c r="AG80" s="632">
        <f t="shared" si="142"/>
        <v>0</v>
      </c>
      <c r="AH80" s="632">
        <f t="shared" si="143"/>
        <v>0</v>
      </c>
      <c r="AI80" s="632">
        <f t="shared" si="144"/>
        <v>0</v>
      </c>
      <c r="AJ80" s="632">
        <f t="shared" si="145"/>
        <v>0</v>
      </c>
      <c r="AK80" s="632">
        <f t="shared" si="146"/>
        <v>0</v>
      </c>
      <c r="AL80" s="632">
        <f t="shared" si="147"/>
        <v>0</v>
      </c>
      <c r="AM80" s="632">
        <f t="shared" si="148"/>
        <v>0</v>
      </c>
      <c r="AN80" s="632">
        <f t="shared" si="149"/>
        <v>0</v>
      </c>
    </row>
    <row r="81" spans="1:40" ht="10.25" customHeight="1" x14ac:dyDescent="0.2">
      <c r="A81" s="401" t="s">
        <v>583</v>
      </c>
      <c r="B81" s="401" t="s">
        <v>15</v>
      </c>
      <c r="C81" s="401" t="s">
        <v>745</v>
      </c>
      <c r="D81" s="401" t="s">
        <v>274</v>
      </c>
      <c r="E81" s="502" t="s">
        <v>618</v>
      </c>
      <c r="F81" s="402" t="s">
        <v>5</v>
      </c>
      <c r="G81" s="504">
        <v>54</v>
      </c>
      <c r="H81" s="404">
        <f>Ühikhinnad!$C$11</f>
        <v>350</v>
      </c>
      <c r="I81" s="405">
        <f>G81*H81</f>
        <v>18900</v>
      </c>
      <c r="J81" s="612">
        <f>yld*I81</f>
        <v>21735</v>
      </c>
      <c r="K81" s="608">
        <f t="shared" si="124"/>
        <v>0</v>
      </c>
      <c r="L81" s="608">
        <f t="shared" si="137"/>
        <v>19561.5</v>
      </c>
      <c r="M81" s="608">
        <f t="shared" si="137"/>
        <v>2173.5</v>
      </c>
      <c r="N81" s="418" t="s">
        <v>805</v>
      </c>
      <c r="O81" s="407">
        <v>50</v>
      </c>
      <c r="P81" s="408">
        <f t="shared" si="125"/>
        <v>10867.5</v>
      </c>
      <c r="Q81" s="408">
        <f t="shared" si="125"/>
        <v>10867.5</v>
      </c>
      <c r="R81" s="408"/>
      <c r="S81" s="408"/>
      <c r="T81" s="408"/>
      <c r="U81" s="408"/>
      <c r="V81" s="408"/>
      <c r="W81" s="408"/>
      <c r="X81" s="408"/>
      <c r="Y81" s="408"/>
      <c r="Z81" s="408"/>
      <c r="AA81" s="408"/>
      <c r="AC81" s="632">
        <f t="shared" si="138"/>
        <v>0</v>
      </c>
      <c r="AD81" s="632">
        <f t="shared" si="139"/>
        <v>0</v>
      </c>
      <c r="AE81" s="632">
        <f t="shared" si="140"/>
        <v>0</v>
      </c>
      <c r="AF81" s="632">
        <f t="shared" si="141"/>
        <v>0</v>
      </c>
      <c r="AG81" s="632">
        <f t="shared" si="142"/>
        <v>0</v>
      </c>
      <c r="AH81" s="632">
        <f t="shared" si="143"/>
        <v>0</v>
      </c>
      <c r="AI81" s="632">
        <f t="shared" si="144"/>
        <v>0</v>
      </c>
      <c r="AJ81" s="632">
        <f t="shared" si="145"/>
        <v>0</v>
      </c>
      <c r="AK81" s="632">
        <f t="shared" si="146"/>
        <v>0</v>
      </c>
      <c r="AL81" s="632">
        <f t="shared" si="147"/>
        <v>0</v>
      </c>
      <c r="AM81" s="632">
        <f t="shared" si="148"/>
        <v>0</v>
      </c>
      <c r="AN81" s="632">
        <f t="shared" si="149"/>
        <v>0</v>
      </c>
    </row>
    <row r="82" spans="1:40" s="390" customFormat="1" x14ac:dyDescent="0.35">
      <c r="A82" s="370"/>
      <c r="B82" s="370"/>
      <c r="C82" s="370"/>
      <c r="D82" s="370"/>
      <c r="E82" s="410" t="s">
        <v>588</v>
      </c>
      <c r="F82" s="428"/>
      <c r="G82" s="428"/>
      <c r="H82" s="429"/>
      <c r="I82" s="430"/>
      <c r="J82" s="413">
        <f>SUM(J83:J86)</f>
        <v>350635</v>
      </c>
      <c r="K82" s="622">
        <f t="shared" ref="K82:M82" si="150">SUM(K83:K86)</f>
        <v>0</v>
      </c>
      <c r="L82" s="622">
        <f t="shared" si="150"/>
        <v>315571.5</v>
      </c>
      <c r="M82" s="622">
        <f t="shared" si="150"/>
        <v>35063.5</v>
      </c>
      <c r="N82" s="375"/>
      <c r="O82" s="431"/>
      <c r="P82" s="431"/>
      <c r="Q82" s="431"/>
      <c r="R82" s="431"/>
      <c r="S82" s="431"/>
      <c r="T82" s="431"/>
      <c r="U82" s="431"/>
      <c r="V82" s="431"/>
      <c r="W82" s="431"/>
      <c r="X82" s="431"/>
      <c r="Y82" s="431"/>
      <c r="Z82" s="431"/>
      <c r="AA82" s="431"/>
      <c r="AB82" s="375"/>
      <c r="AC82" s="431"/>
      <c r="AD82" s="431"/>
      <c r="AE82" s="431"/>
      <c r="AF82" s="431"/>
      <c r="AG82" s="431"/>
      <c r="AH82" s="431"/>
      <c r="AI82" s="431"/>
      <c r="AJ82" s="431"/>
      <c r="AK82" s="431"/>
      <c r="AL82" s="431"/>
      <c r="AM82" s="431"/>
      <c r="AN82" s="431"/>
    </row>
    <row r="83" spans="1:40" ht="10.75" customHeight="1" x14ac:dyDescent="0.2">
      <c r="A83" s="401" t="s">
        <v>583</v>
      </c>
      <c r="B83" s="401" t="s">
        <v>17</v>
      </c>
      <c r="C83" s="401" t="s">
        <v>614</v>
      </c>
      <c r="D83" s="401" t="s">
        <v>274</v>
      </c>
      <c r="E83" s="502" t="s">
        <v>744</v>
      </c>
      <c r="F83" s="432" t="s">
        <v>9</v>
      </c>
      <c r="G83" s="433">
        <v>1000</v>
      </c>
      <c r="H83" s="404">
        <f>Ühikhinnad!$C$4</f>
        <v>160</v>
      </c>
      <c r="I83" s="405">
        <f>G83*H83</f>
        <v>160000</v>
      </c>
      <c r="J83" s="612">
        <f>yld*I83</f>
        <v>184000</v>
      </c>
      <c r="K83" s="608">
        <f t="shared" ref="K83:K86" si="151">J83-L83-M83</f>
        <v>0</v>
      </c>
      <c r="L83" s="608">
        <f>$J83*L$76</f>
        <v>165600</v>
      </c>
      <c r="M83" s="608">
        <f>$J83*M$76</f>
        <v>18400</v>
      </c>
      <c r="O83" s="407">
        <v>50</v>
      </c>
      <c r="P83" s="408">
        <f t="shared" ref="P83:Q86" si="152">$J83/2</f>
        <v>92000</v>
      </c>
      <c r="Q83" s="408">
        <f t="shared" si="152"/>
        <v>92000</v>
      </c>
      <c r="R83" s="408"/>
      <c r="S83" s="408"/>
      <c r="T83" s="408"/>
      <c r="U83" s="408"/>
      <c r="V83" s="408"/>
      <c r="W83" s="408"/>
      <c r="X83" s="408"/>
      <c r="Y83" s="408"/>
      <c r="Z83" s="408"/>
      <c r="AA83" s="408"/>
      <c r="AC83" s="632">
        <f t="shared" ref="AC83:AC86" si="153">IFERROR(P83*$K83/$J83,0)</f>
        <v>0</v>
      </c>
      <c r="AD83" s="632">
        <f t="shared" ref="AD83:AD86" si="154">IFERROR(Q83*$K83/$J83,0)</f>
        <v>0</v>
      </c>
      <c r="AE83" s="632">
        <f t="shared" ref="AE83:AE86" si="155">IFERROR(R83*$K83/$J83,0)</f>
        <v>0</v>
      </c>
      <c r="AF83" s="632">
        <f t="shared" ref="AF83:AF86" si="156">IFERROR(S83*$K83/$J83,0)</f>
        <v>0</v>
      </c>
      <c r="AG83" s="632">
        <f t="shared" ref="AG83:AG86" si="157">IFERROR(T83*$K83/$J83,0)</f>
        <v>0</v>
      </c>
      <c r="AH83" s="632">
        <f t="shared" ref="AH83:AH86" si="158">IFERROR(U83*$K83/$J83,0)</f>
        <v>0</v>
      </c>
      <c r="AI83" s="632">
        <f t="shared" ref="AI83:AI86" si="159">IFERROR(V83*$K83/$J83,0)</f>
        <v>0</v>
      </c>
      <c r="AJ83" s="632">
        <f t="shared" ref="AJ83:AJ86" si="160">IFERROR(W83*$K83/$J83,0)</f>
        <v>0</v>
      </c>
      <c r="AK83" s="632">
        <f t="shared" ref="AK83:AK86" si="161">IFERROR(X83*$K83/$J83,0)</f>
        <v>0</v>
      </c>
      <c r="AL83" s="632">
        <f t="shared" ref="AL83:AL86" si="162">IFERROR(Y83*$K83/$J83,0)</f>
        <v>0</v>
      </c>
      <c r="AM83" s="632">
        <f t="shared" ref="AM83:AM86" si="163">IFERROR(Z83*$K83/$J83,0)</f>
        <v>0</v>
      </c>
      <c r="AN83" s="632">
        <f t="shared" ref="AN83:AN86" si="164">IFERROR(AA83*$K83/$J83,0)</f>
        <v>0</v>
      </c>
    </row>
    <row r="84" spans="1:40" ht="10.75" customHeight="1" x14ac:dyDescent="0.2">
      <c r="A84" s="401" t="s">
        <v>583</v>
      </c>
      <c r="B84" s="401" t="s">
        <v>17</v>
      </c>
      <c r="C84" s="401" t="s">
        <v>614</v>
      </c>
      <c r="D84" s="401" t="s">
        <v>274</v>
      </c>
      <c r="E84" s="502" t="s">
        <v>742</v>
      </c>
      <c r="F84" s="432" t="s">
        <v>9</v>
      </c>
      <c r="G84" s="433">
        <v>700</v>
      </c>
      <c r="H84" s="434">
        <f>Ühikhinnad!$C$5</f>
        <v>130</v>
      </c>
      <c r="I84" s="405">
        <f>G84*H84</f>
        <v>91000</v>
      </c>
      <c r="J84" s="612">
        <f>yld*I84</f>
        <v>104649.99999999999</v>
      </c>
      <c r="K84" s="608">
        <f t="shared" si="151"/>
        <v>0</v>
      </c>
      <c r="L84" s="608">
        <f t="shared" ref="L84:M86" si="165">$J84*L$76</f>
        <v>94184.999999999985</v>
      </c>
      <c r="M84" s="608">
        <f t="shared" si="165"/>
        <v>10465</v>
      </c>
      <c r="O84" s="407">
        <v>50</v>
      </c>
      <c r="P84" s="408">
        <f t="shared" si="152"/>
        <v>52324.999999999993</v>
      </c>
      <c r="Q84" s="408">
        <f t="shared" si="152"/>
        <v>52324.999999999993</v>
      </c>
      <c r="R84" s="408"/>
      <c r="S84" s="408"/>
      <c r="T84" s="408"/>
      <c r="U84" s="408"/>
      <c r="V84" s="408"/>
      <c r="W84" s="408"/>
      <c r="X84" s="408"/>
      <c r="Y84" s="408"/>
      <c r="Z84" s="408"/>
      <c r="AA84" s="408"/>
      <c r="AC84" s="632">
        <f t="shared" si="153"/>
        <v>0</v>
      </c>
      <c r="AD84" s="632">
        <f t="shared" si="154"/>
        <v>0</v>
      </c>
      <c r="AE84" s="632">
        <f t="shared" si="155"/>
        <v>0</v>
      </c>
      <c r="AF84" s="632">
        <f t="shared" si="156"/>
        <v>0</v>
      </c>
      <c r="AG84" s="632">
        <f t="shared" si="157"/>
        <v>0</v>
      </c>
      <c r="AH84" s="632">
        <f t="shared" si="158"/>
        <v>0</v>
      </c>
      <c r="AI84" s="632">
        <f t="shared" si="159"/>
        <v>0</v>
      </c>
      <c r="AJ84" s="632">
        <f t="shared" si="160"/>
        <v>0</v>
      </c>
      <c r="AK84" s="632">
        <f t="shared" si="161"/>
        <v>0</v>
      </c>
      <c r="AL84" s="632">
        <f t="shared" si="162"/>
        <v>0</v>
      </c>
      <c r="AM84" s="632">
        <f t="shared" si="163"/>
        <v>0</v>
      </c>
      <c r="AN84" s="632">
        <f t="shared" si="164"/>
        <v>0</v>
      </c>
    </row>
    <row r="85" spans="1:40" ht="10.25" customHeight="1" x14ac:dyDescent="0.2">
      <c r="A85" s="401" t="s">
        <v>583</v>
      </c>
      <c r="B85" s="401" t="s">
        <v>17</v>
      </c>
      <c r="C85" s="401" t="s">
        <v>753</v>
      </c>
      <c r="D85" s="401" t="s">
        <v>274</v>
      </c>
      <c r="E85" s="502" t="s">
        <v>741</v>
      </c>
      <c r="F85" s="432" t="s">
        <v>585</v>
      </c>
      <c r="G85" s="433">
        <v>1</v>
      </c>
      <c r="H85" s="434">
        <f>Ühikhinnad!$C$8</f>
        <v>35000</v>
      </c>
      <c r="I85" s="405">
        <f>G85*H85</f>
        <v>35000</v>
      </c>
      <c r="J85" s="612">
        <f>yld*I85</f>
        <v>40250</v>
      </c>
      <c r="K85" s="608">
        <f t="shared" si="151"/>
        <v>0</v>
      </c>
      <c r="L85" s="608">
        <f t="shared" si="165"/>
        <v>36225</v>
      </c>
      <c r="M85" s="608">
        <f t="shared" si="165"/>
        <v>4025</v>
      </c>
      <c r="O85" s="407">
        <v>25</v>
      </c>
      <c r="P85" s="408">
        <f t="shared" si="152"/>
        <v>20125</v>
      </c>
      <c r="Q85" s="408">
        <f t="shared" si="152"/>
        <v>20125</v>
      </c>
      <c r="R85" s="408"/>
      <c r="S85" s="408"/>
      <c r="T85" s="408"/>
      <c r="U85" s="408"/>
      <c r="V85" s="408"/>
      <c r="W85" s="408"/>
      <c r="X85" s="408"/>
      <c r="Y85" s="408"/>
      <c r="Z85" s="408"/>
      <c r="AA85" s="408"/>
      <c r="AC85" s="632">
        <f t="shared" si="153"/>
        <v>0</v>
      </c>
      <c r="AD85" s="632">
        <f t="shared" si="154"/>
        <v>0</v>
      </c>
      <c r="AE85" s="632">
        <f t="shared" si="155"/>
        <v>0</v>
      </c>
      <c r="AF85" s="632">
        <f t="shared" si="156"/>
        <v>0</v>
      </c>
      <c r="AG85" s="632">
        <f t="shared" si="157"/>
        <v>0</v>
      </c>
      <c r="AH85" s="632">
        <f t="shared" si="158"/>
        <v>0</v>
      </c>
      <c r="AI85" s="632">
        <f t="shared" si="159"/>
        <v>0</v>
      </c>
      <c r="AJ85" s="632">
        <f t="shared" si="160"/>
        <v>0</v>
      </c>
      <c r="AK85" s="632">
        <f t="shared" si="161"/>
        <v>0</v>
      </c>
      <c r="AL85" s="632">
        <f t="shared" si="162"/>
        <v>0</v>
      </c>
      <c r="AM85" s="632">
        <f t="shared" si="163"/>
        <v>0</v>
      </c>
      <c r="AN85" s="632">
        <f t="shared" si="164"/>
        <v>0</v>
      </c>
    </row>
    <row r="86" spans="1:40" ht="10.25" customHeight="1" x14ac:dyDescent="0.2">
      <c r="A86" s="401" t="s">
        <v>583</v>
      </c>
      <c r="B86" s="401" t="s">
        <v>17</v>
      </c>
      <c r="C86" s="401" t="s">
        <v>614</v>
      </c>
      <c r="D86" s="401" t="s">
        <v>274</v>
      </c>
      <c r="E86" s="502" t="s">
        <v>618</v>
      </c>
      <c r="F86" s="432" t="s">
        <v>5</v>
      </c>
      <c r="G86" s="403">
        <v>54</v>
      </c>
      <c r="H86" s="404">
        <f>Ühikhinnad!$C$12</f>
        <v>350</v>
      </c>
      <c r="I86" s="405">
        <f>G86*H86</f>
        <v>18900</v>
      </c>
      <c r="J86" s="612">
        <f>yld*I86</f>
        <v>21735</v>
      </c>
      <c r="K86" s="608">
        <f t="shared" si="151"/>
        <v>0</v>
      </c>
      <c r="L86" s="608">
        <f t="shared" si="165"/>
        <v>19561.5</v>
      </c>
      <c r="M86" s="608">
        <f t="shared" si="165"/>
        <v>2173.5</v>
      </c>
      <c r="N86" s="418" t="s">
        <v>805</v>
      </c>
      <c r="O86" s="407">
        <v>50</v>
      </c>
      <c r="P86" s="408">
        <f t="shared" si="152"/>
        <v>10867.5</v>
      </c>
      <c r="Q86" s="408">
        <f t="shared" si="152"/>
        <v>10867.5</v>
      </c>
      <c r="R86" s="408"/>
      <c r="S86" s="408"/>
      <c r="T86" s="408"/>
      <c r="U86" s="408"/>
      <c r="V86" s="408"/>
      <c r="W86" s="408"/>
      <c r="X86" s="408"/>
      <c r="Y86" s="408"/>
      <c r="Z86" s="408"/>
      <c r="AA86" s="408"/>
      <c r="AC86" s="632">
        <f t="shared" si="153"/>
        <v>0</v>
      </c>
      <c r="AD86" s="632">
        <f t="shared" si="154"/>
        <v>0</v>
      </c>
      <c r="AE86" s="632">
        <f t="shared" si="155"/>
        <v>0</v>
      </c>
      <c r="AF86" s="632">
        <f t="shared" si="156"/>
        <v>0</v>
      </c>
      <c r="AG86" s="632">
        <f t="shared" si="157"/>
        <v>0</v>
      </c>
      <c r="AH86" s="632">
        <f t="shared" si="158"/>
        <v>0</v>
      </c>
      <c r="AI86" s="632">
        <f t="shared" si="159"/>
        <v>0</v>
      </c>
      <c r="AJ86" s="632">
        <f t="shared" si="160"/>
        <v>0</v>
      </c>
      <c r="AK86" s="632">
        <f t="shared" si="161"/>
        <v>0</v>
      </c>
      <c r="AL86" s="632">
        <f t="shared" si="162"/>
        <v>0</v>
      </c>
      <c r="AM86" s="632">
        <f t="shared" si="163"/>
        <v>0</v>
      </c>
      <c r="AN86" s="632">
        <f t="shared" si="164"/>
        <v>0</v>
      </c>
    </row>
    <row r="87" spans="1:40" ht="10" outlineLevel="1" x14ac:dyDescent="0.35">
      <c r="E87" s="420" t="s">
        <v>594</v>
      </c>
      <c r="F87" s="421"/>
      <c r="G87" s="421"/>
      <c r="H87" s="422"/>
      <c r="I87" s="423"/>
      <c r="J87" s="614">
        <f>J89+J91</f>
        <v>0</v>
      </c>
      <c r="K87" s="617">
        <f t="shared" ref="K87:M87" si="166">K89+K91</f>
        <v>0</v>
      </c>
      <c r="L87" s="617">
        <f t="shared" si="166"/>
        <v>0</v>
      </c>
      <c r="M87" s="617">
        <f t="shared" si="166"/>
        <v>0</v>
      </c>
      <c r="O87" s="375"/>
      <c r="AC87" s="375"/>
      <c r="AD87" s="375"/>
      <c r="AE87" s="375"/>
      <c r="AF87" s="375"/>
      <c r="AG87" s="375"/>
      <c r="AH87" s="375"/>
      <c r="AI87" s="375"/>
      <c r="AJ87" s="375"/>
      <c r="AK87" s="375"/>
      <c r="AL87" s="375"/>
      <c r="AM87" s="375"/>
      <c r="AN87" s="375"/>
    </row>
    <row r="88" spans="1:40" outlineLevel="1" x14ac:dyDescent="0.35">
      <c r="A88" s="376" t="s">
        <v>8</v>
      </c>
      <c r="B88" s="376" t="s">
        <v>14</v>
      </c>
      <c r="C88" s="376" t="s">
        <v>13</v>
      </c>
      <c r="D88" s="376" t="s">
        <v>6</v>
      </c>
      <c r="E88" s="377" t="s">
        <v>0</v>
      </c>
      <c r="F88" s="378" t="s">
        <v>1</v>
      </c>
      <c r="G88" s="379" t="s">
        <v>2</v>
      </c>
      <c r="H88" s="380" t="s">
        <v>3</v>
      </c>
      <c r="I88" s="380" t="s">
        <v>4</v>
      </c>
      <c r="J88" s="609" t="s">
        <v>52</v>
      </c>
      <c r="K88" s="623"/>
      <c r="L88" s="623"/>
      <c r="M88" s="623"/>
      <c r="N88" s="390"/>
      <c r="O88" s="395" t="s">
        <v>181</v>
      </c>
      <c r="P88" s="382">
        <v>2024</v>
      </c>
      <c r="Q88" s="382">
        <v>2025</v>
      </c>
      <c r="R88" s="382">
        <v>2026</v>
      </c>
      <c r="S88" s="382">
        <v>2027</v>
      </c>
      <c r="T88" s="383">
        <v>2028</v>
      </c>
      <c r="U88" s="383">
        <v>2029</v>
      </c>
      <c r="V88" s="383">
        <v>2030</v>
      </c>
      <c r="W88" s="383">
        <v>2031</v>
      </c>
      <c r="X88" s="383">
        <v>2032</v>
      </c>
      <c r="Y88" s="383">
        <v>2033</v>
      </c>
      <c r="Z88" s="383">
        <v>2034</v>
      </c>
      <c r="AA88" s="383">
        <v>2035</v>
      </c>
      <c r="AC88" s="382">
        <v>2024</v>
      </c>
      <c r="AD88" s="382">
        <v>2025</v>
      </c>
      <c r="AE88" s="382">
        <v>2026</v>
      </c>
      <c r="AF88" s="382">
        <v>2027</v>
      </c>
      <c r="AG88" s="383">
        <v>2028</v>
      </c>
      <c r="AH88" s="383">
        <v>2029</v>
      </c>
      <c r="AI88" s="383">
        <v>2030</v>
      </c>
      <c r="AJ88" s="383">
        <v>2031</v>
      </c>
      <c r="AK88" s="383">
        <v>2032</v>
      </c>
      <c r="AL88" s="383">
        <v>2033</v>
      </c>
      <c r="AM88" s="383">
        <v>2034</v>
      </c>
      <c r="AN88" s="383">
        <v>2035</v>
      </c>
    </row>
    <row r="89" spans="1:40" outlineLevel="1" x14ac:dyDescent="0.35">
      <c r="E89" s="396" t="s">
        <v>582</v>
      </c>
      <c r="F89" s="397"/>
      <c r="G89" s="397"/>
      <c r="H89" s="398"/>
      <c r="I89" s="399"/>
      <c r="J89" s="399">
        <f>SUM(J90:J90)</f>
        <v>0</v>
      </c>
      <c r="K89" s="621">
        <f t="shared" ref="K89:M89" si="167">SUM(K90:K90)</f>
        <v>0</v>
      </c>
      <c r="L89" s="621">
        <f t="shared" si="167"/>
        <v>0</v>
      </c>
      <c r="M89" s="621">
        <f t="shared" si="167"/>
        <v>0</v>
      </c>
      <c r="O89" s="400"/>
      <c r="P89" s="400"/>
      <c r="Q89" s="400"/>
      <c r="R89" s="400"/>
      <c r="S89" s="400"/>
      <c r="T89" s="400"/>
      <c r="U89" s="400"/>
      <c r="V89" s="400"/>
      <c r="W89" s="400"/>
      <c r="X89" s="400"/>
      <c r="Y89" s="400"/>
      <c r="Z89" s="400"/>
      <c r="AA89" s="400"/>
      <c r="AC89" s="400"/>
      <c r="AD89" s="400"/>
      <c r="AE89" s="400"/>
      <c r="AF89" s="400"/>
      <c r="AG89" s="400"/>
      <c r="AH89" s="400"/>
      <c r="AI89" s="400"/>
      <c r="AJ89" s="400"/>
      <c r="AK89" s="400"/>
      <c r="AL89" s="400"/>
      <c r="AM89" s="400"/>
      <c r="AN89" s="400"/>
    </row>
    <row r="90" spans="1:40" outlineLevel="1" x14ac:dyDescent="0.35">
      <c r="A90" s="401"/>
      <c r="B90" s="401"/>
      <c r="C90" s="401"/>
      <c r="D90" s="401"/>
      <c r="E90" s="427"/>
      <c r="F90" s="432"/>
      <c r="G90" s="433"/>
      <c r="H90" s="434"/>
      <c r="I90" s="405">
        <f>G90*H90</f>
        <v>0</v>
      </c>
      <c r="J90" s="612">
        <f>yld*I90</f>
        <v>0</v>
      </c>
      <c r="K90" s="608"/>
      <c r="L90" s="608"/>
      <c r="M90" s="608"/>
      <c r="N90" s="406"/>
      <c r="O90" s="407"/>
      <c r="P90" s="408"/>
      <c r="Q90" s="408"/>
      <c r="R90" s="408"/>
      <c r="S90" s="408"/>
      <c r="T90" s="408"/>
      <c r="U90" s="408"/>
      <c r="V90" s="408"/>
      <c r="W90" s="408"/>
      <c r="X90" s="408"/>
      <c r="Y90" s="408"/>
      <c r="Z90" s="408"/>
      <c r="AA90" s="408"/>
      <c r="AC90" s="632">
        <f>IFERROR(P90*$K90/$J90,0)</f>
        <v>0</v>
      </c>
      <c r="AD90" s="632">
        <f t="shared" ref="AD90" si="168">IFERROR(Q90*$K90/$J90,0)</f>
        <v>0</v>
      </c>
      <c r="AE90" s="632">
        <f t="shared" ref="AE90" si="169">IFERROR(R90*$K90/$J90,0)</f>
        <v>0</v>
      </c>
      <c r="AF90" s="632">
        <f t="shared" ref="AF90" si="170">IFERROR(S90*$K90/$J90,0)</f>
        <v>0</v>
      </c>
      <c r="AG90" s="632">
        <f t="shared" ref="AG90" si="171">IFERROR(T90*$K90/$J90,0)</f>
        <v>0</v>
      </c>
      <c r="AH90" s="632">
        <f t="shared" ref="AH90" si="172">IFERROR(U90*$K90/$J90,0)</f>
        <v>0</v>
      </c>
      <c r="AI90" s="632">
        <f t="shared" ref="AI90" si="173">IFERROR(V90*$K90/$J90,0)</f>
        <v>0</v>
      </c>
      <c r="AJ90" s="632">
        <f t="shared" ref="AJ90" si="174">IFERROR(W90*$K90/$J90,0)</f>
        <v>0</v>
      </c>
      <c r="AK90" s="632">
        <f t="shared" ref="AK90" si="175">IFERROR(X90*$K90/$J90,0)</f>
        <v>0</v>
      </c>
      <c r="AL90" s="632">
        <f t="shared" ref="AL90" si="176">IFERROR(Y90*$K90/$J90,0)</f>
        <v>0</v>
      </c>
      <c r="AM90" s="632">
        <f t="shared" ref="AM90" si="177">IFERROR(Z90*$K90/$J90,0)</f>
        <v>0</v>
      </c>
      <c r="AN90" s="632">
        <f t="shared" ref="AN90" si="178">IFERROR(AA90*$K90/$J90,0)</f>
        <v>0</v>
      </c>
    </row>
    <row r="91" spans="1:40" outlineLevel="1" x14ac:dyDescent="0.35">
      <c r="E91" s="410" t="s">
        <v>588</v>
      </c>
      <c r="F91" s="428"/>
      <c r="G91" s="428"/>
      <c r="H91" s="429"/>
      <c r="I91" s="430"/>
      <c r="J91" s="413">
        <f>SUM(J92:J92)</f>
        <v>0</v>
      </c>
      <c r="K91" s="622">
        <f t="shared" ref="K91:M91" si="179">SUM(K92:K92)</f>
        <v>0</v>
      </c>
      <c r="L91" s="622">
        <f t="shared" si="179"/>
        <v>0</v>
      </c>
      <c r="M91" s="622">
        <f t="shared" si="179"/>
        <v>0</v>
      </c>
      <c r="O91" s="431"/>
      <c r="P91" s="431"/>
      <c r="Q91" s="431"/>
      <c r="R91" s="431"/>
      <c r="S91" s="431"/>
      <c r="T91" s="431"/>
      <c r="U91" s="431"/>
      <c r="V91" s="431"/>
      <c r="W91" s="431"/>
      <c r="X91" s="431"/>
      <c r="Y91" s="431"/>
      <c r="Z91" s="431"/>
      <c r="AA91" s="431"/>
      <c r="AC91" s="431"/>
      <c r="AD91" s="431"/>
      <c r="AE91" s="431"/>
      <c r="AF91" s="431"/>
      <c r="AG91" s="431"/>
      <c r="AH91" s="431"/>
      <c r="AI91" s="431"/>
      <c r="AJ91" s="431"/>
      <c r="AK91" s="431"/>
      <c r="AL91" s="431"/>
      <c r="AM91" s="431"/>
      <c r="AN91" s="431"/>
    </row>
    <row r="92" spans="1:40" outlineLevel="1" x14ac:dyDescent="0.35">
      <c r="A92" s="401"/>
      <c r="B92" s="401"/>
      <c r="C92" s="401"/>
      <c r="D92" s="401"/>
      <c r="E92" s="427"/>
      <c r="F92" s="432"/>
      <c r="G92" s="433"/>
      <c r="H92" s="434"/>
      <c r="I92" s="405">
        <f>G92*H92</f>
        <v>0</v>
      </c>
      <c r="J92" s="612">
        <f>yld*I92</f>
        <v>0</v>
      </c>
      <c r="K92" s="608"/>
      <c r="L92" s="608"/>
      <c r="M92" s="608"/>
      <c r="O92" s="407"/>
      <c r="P92" s="408"/>
      <c r="Q92" s="408"/>
      <c r="R92" s="408"/>
      <c r="S92" s="408"/>
      <c r="T92" s="408"/>
      <c r="U92" s="408"/>
      <c r="V92" s="408"/>
      <c r="W92" s="408"/>
      <c r="X92" s="408"/>
      <c r="Y92" s="408"/>
      <c r="Z92" s="408"/>
      <c r="AA92" s="408"/>
      <c r="AC92" s="632">
        <f>IFERROR(P92*$K92/$J92,0)</f>
        <v>0</v>
      </c>
      <c r="AD92" s="632">
        <f t="shared" ref="AD92" si="180">IFERROR(Q92*$K92/$J92,0)</f>
        <v>0</v>
      </c>
      <c r="AE92" s="632">
        <f t="shared" ref="AE92" si="181">IFERROR(R92*$K92/$J92,0)</f>
        <v>0</v>
      </c>
      <c r="AF92" s="632">
        <f t="shared" ref="AF92" si="182">IFERROR(S92*$K92/$J92,0)</f>
        <v>0</v>
      </c>
      <c r="AG92" s="632">
        <f t="shared" ref="AG92" si="183">IFERROR(T92*$K92/$J92,0)</f>
        <v>0</v>
      </c>
      <c r="AH92" s="632">
        <f t="shared" ref="AH92" si="184">IFERROR(U92*$K92/$J92,0)</f>
        <v>0</v>
      </c>
      <c r="AI92" s="632">
        <f t="shared" ref="AI92" si="185">IFERROR(V92*$K92/$J92,0)</f>
        <v>0</v>
      </c>
      <c r="AJ92" s="632">
        <f t="shared" ref="AJ92" si="186">IFERROR(W92*$K92/$J92,0)</f>
        <v>0</v>
      </c>
      <c r="AK92" s="632">
        <f t="shared" ref="AK92" si="187">IFERROR(X92*$K92/$J92,0)</f>
        <v>0</v>
      </c>
      <c r="AL92" s="632">
        <f t="shared" ref="AL92" si="188">IFERROR(Y92*$K92/$J92,0)</f>
        <v>0</v>
      </c>
      <c r="AM92" s="632">
        <f t="shared" ref="AM92" si="189">IFERROR(Z92*$K92/$J92,0)</f>
        <v>0</v>
      </c>
      <c r="AN92" s="632">
        <f t="shared" ref="AN92" si="190">IFERROR(AA92*$K92/$J92,0)</f>
        <v>0</v>
      </c>
    </row>
    <row r="93" spans="1:40" ht="15.5" thickBot="1" x14ac:dyDescent="0.4">
      <c r="E93" s="384" t="s">
        <v>604</v>
      </c>
      <c r="F93" s="384"/>
      <c r="G93" s="503"/>
      <c r="H93" s="426"/>
      <c r="I93" s="384"/>
      <c r="J93" s="389">
        <f>J94+J103</f>
        <v>701845</v>
      </c>
      <c r="K93" s="620">
        <f t="shared" ref="K93:M93" si="191">K94+K103</f>
        <v>273999</v>
      </c>
      <c r="L93" s="620">
        <f t="shared" si="191"/>
        <v>322321.99999999994</v>
      </c>
      <c r="M93" s="620">
        <f t="shared" si="191"/>
        <v>105524</v>
      </c>
      <c r="N93" s="375" t="str">
        <f>IF(J93=K93+L93+M93,"OK","viga")</f>
        <v>OK</v>
      </c>
      <c r="AC93" s="375"/>
      <c r="AD93" s="375"/>
      <c r="AE93" s="375"/>
      <c r="AF93" s="375"/>
      <c r="AG93" s="375"/>
      <c r="AH93" s="375"/>
      <c r="AI93" s="375"/>
      <c r="AJ93" s="375"/>
      <c r="AK93" s="375"/>
      <c r="AL93" s="375"/>
      <c r="AM93" s="375"/>
      <c r="AN93" s="375"/>
    </row>
    <row r="94" spans="1:40" ht="10.5" thickTop="1" x14ac:dyDescent="0.35">
      <c r="E94" s="391" t="s">
        <v>581</v>
      </c>
      <c r="F94" s="392"/>
      <c r="G94" s="392"/>
      <c r="H94" s="393"/>
      <c r="I94" s="394"/>
      <c r="J94" s="610">
        <f>J96+J98</f>
        <v>174225</v>
      </c>
      <c r="K94" s="617">
        <f t="shared" ref="K94:M94" si="192">K96+K98</f>
        <v>168475</v>
      </c>
      <c r="L94" s="617">
        <f t="shared" si="192"/>
        <v>5750</v>
      </c>
      <c r="M94" s="617">
        <f t="shared" si="192"/>
        <v>0</v>
      </c>
      <c r="AC94" s="375"/>
      <c r="AD94" s="375"/>
      <c r="AE94" s="375"/>
      <c r="AF94" s="375"/>
      <c r="AG94" s="375"/>
      <c r="AH94" s="375"/>
      <c r="AI94" s="375"/>
      <c r="AJ94" s="375"/>
      <c r="AK94" s="375"/>
      <c r="AL94" s="375"/>
      <c r="AM94" s="375"/>
      <c r="AN94" s="375"/>
    </row>
    <row r="95" spans="1:40" x14ac:dyDescent="0.35">
      <c r="A95" s="376" t="s">
        <v>8</v>
      </c>
      <c r="B95" s="376" t="s">
        <v>14</v>
      </c>
      <c r="C95" s="376" t="s">
        <v>13</v>
      </c>
      <c r="D95" s="376" t="s">
        <v>6</v>
      </c>
      <c r="E95" s="377" t="s">
        <v>0</v>
      </c>
      <c r="F95" s="378" t="s">
        <v>1</v>
      </c>
      <c r="G95" s="379" t="s">
        <v>2</v>
      </c>
      <c r="H95" s="380" t="s">
        <v>3</v>
      </c>
      <c r="I95" s="380" t="s">
        <v>4</v>
      </c>
      <c r="J95" s="609" t="s">
        <v>52</v>
      </c>
      <c r="K95" s="623"/>
      <c r="L95" s="623"/>
      <c r="M95" s="623"/>
      <c r="N95" s="390"/>
      <c r="O95" s="395" t="s">
        <v>181</v>
      </c>
      <c r="P95" s="382">
        <v>2024</v>
      </c>
      <c r="Q95" s="382">
        <v>2025</v>
      </c>
      <c r="R95" s="382">
        <v>2026</v>
      </c>
      <c r="S95" s="382">
        <v>2027</v>
      </c>
      <c r="T95" s="383">
        <v>2028</v>
      </c>
      <c r="U95" s="383">
        <v>2029</v>
      </c>
      <c r="V95" s="383">
        <v>2030</v>
      </c>
      <c r="W95" s="383">
        <v>2031</v>
      </c>
      <c r="X95" s="383">
        <v>2032</v>
      </c>
      <c r="Y95" s="383">
        <v>2033</v>
      </c>
      <c r="Z95" s="383">
        <v>2034</v>
      </c>
      <c r="AA95" s="383">
        <v>2035</v>
      </c>
      <c r="AC95" s="382">
        <v>2024</v>
      </c>
      <c r="AD95" s="382">
        <v>2025</v>
      </c>
      <c r="AE95" s="382">
        <v>2026</v>
      </c>
      <c r="AF95" s="382">
        <v>2027</v>
      </c>
      <c r="AG95" s="383">
        <v>2028</v>
      </c>
      <c r="AH95" s="383">
        <v>2029</v>
      </c>
      <c r="AI95" s="383">
        <v>2030</v>
      </c>
      <c r="AJ95" s="383">
        <v>2031</v>
      </c>
      <c r="AK95" s="383">
        <v>2032</v>
      </c>
      <c r="AL95" s="383">
        <v>2033</v>
      </c>
      <c r="AM95" s="383">
        <v>2034</v>
      </c>
      <c r="AN95" s="383">
        <v>2035</v>
      </c>
    </row>
    <row r="96" spans="1:40" x14ac:dyDescent="0.35">
      <c r="E96" s="396" t="s">
        <v>582</v>
      </c>
      <c r="F96" s="397"/>
      <c r="G96" s="397"/>
      <c r="H96" s="398"/>
      <c r="I96" s="399"/>
      <c r="J96" s="399">
        <f>SUM(J97:J97)</f>
        <v>5750</v>
      </c>
      <c r="K96" s="621">
        <f t="shared" ref="K96:M96" si="193">SUM(K97:K97)</f>
        <v>0</v>
      </c>
      <c r="L96" s="621">
        <f t="shared" si="193"/>
        <v>5750</v>
      </c>
      <c r="M96" s="621">
        <f t="shared" si="193"/>
        <v>0</v>
      </c>
      <c r="O96" s="400"/>
      <c r="P96" s="400"/>
      <c r="Q96" s="400"/>
      <c r="R96" s="400"/>
      <c r="S96" s="400"/>
      <c r="T96" s="400"/>
      <c r="U96" s="400"/>
      <c r="V96" s="400"/>
      <c r="W96" s="400"/>
      <c r="X96" s="400"/>
      <c r="Y96" s="400"/>
      <c r="Z96" s="400"/>
      <c r="AA96" s="400"/>
      <c r="AC96" s="400"/>
      <c r="AD96" s="400"/>
      <c r="AE96" s="400"/>
      <c r="AF96" s="400"/>
      <c r="AG96" s="400"/>
      <c r="AH96" s="400"/>
      <c r="AI96" s="400"/>
      <c r="AJ96" s="400"/>
      <c r="AK96" s="400"/>
      <c r="AL96" s="400"/>
      <c r="AM96" s="400"/>
      <c r="AN96" s="400"/>
    </row>
    <row r="97" spans="1:40" x14ac:dyDescent="0.35">
      <c r="A97" s="401" t="s">
        <v>583</v>
      </c>
      <c r="B97" s="401" t="s">
        <v>15</v>
      </c>
      <c r="C97" s="401" t="s">
        <v>748</v>
      </c>
      <c r="D97" s="401" t="s">
        <v>750</v>
      </c>
      <c r="E97" s="140" t="s">
        <v>933</v>
      </c>
      <c r="F97" s="402" t="s">
        <v>585</v>
      </c>
      <c r="G97" s="403">
        <v>1</v>
      </c>
      <c r="H97" s="404">
        <v>5000</v>
      </c>
      <c r="I97" s="405">
        <f>G97*H97</f>
        <v>5000</v>
      </c>
      <c r="J97" s="612">
        <f>yld*I97</f>
        <v>5750</v>
      </c>
      <c r="K97" s="608">
        <f>J97-L97-M97</f>
        <v>0</v>
      </c>
      <c r="L97" s="608">
        <f>J97</f>
        <v>5750</v>
      </c>
      <c r="M97" s="608"/>
      <c r="N97" s="406" t="s">
        <v>836</v>
      </c>
      <c r="O97" s="407">
        <v>25</v>
      </c>
      <c r="P97" s="408"/>
      <c r="Q97" s="408"/>
      <c r="R97" s="408"/>
      <c r="S97" s="408">
        <f>$J97</f>
        <v>5750</v>
      </c>
      <c r="T97" s="408"/>
      <c r="U97" s="408"/>
      <c r="V97" s="408"/>
      <c r="W97" s="408"/>
      <c r="X97" s="408"/>
      <c r="Y97" s="408"/>
      <c r="Z97" s="408"/>
      <c r="AA97" s="408"/>
      <c r="AC97" s="632">
        <f>IFERROR(P97*$K97/$J97,0)</f>
        <v>0</v>
      </c>
      <c r="AD97" s="632">
        <f t="shared" ref="AD97" si="194">IFERROR(Q97*$K97/$J97,0)</f>
        <v>0</v>
      </c>
      <c r="AE97" s="632">
        <f t="shared" ref="AE97" si="195">IFERROR(R97*$K97/$J97,0)</f>
        <v>0</v>
      </c>
      <c r="AF97" s="632">
        <f t="shared" ref="AF97" si="196">IFERROR(S97*$K97/$J97,0)</f>
        <v>0</v>
      </c>
      <c r="AG97" s="632">
        <f t="shared" ref="AG97" si="197">IFERROR(T97*$K97/$J97,0)</f>
        <v>0</v>
      </c>
      <c r="AH97" s="632">
        <f t="shared" ref="AH97" si="198">IFERROR(U97*$K97/$J97,0)</f>
        <v>0</v>
      </c>
      <c r="AI97" s="632">
        <f t="shared" ref="AI97" si="199">IFERROR(V97*$K97/$J97,0)</f>
        <v>0</v>
      </c>
      <c r="AJ97" s="632">
        <f t="shared" ref="AJ97" si="200">IFERROR(W97*$K97/$J97,0)</f>
        <v>0</v>
      </c>
      <c r="AK97" s="632">
        <f t="shared" ref="AK97" si="201">IFERROR(X97*$K97/$J97,0)</f>
        <v>0</v>
      </c>
      <c r="AL97" s="632">
        <f t="shared" ref="AL97" si="202">IFERROR(Y97*$K97/$J97,0)</f>
        <v>0</v>
      </c>
      <c r="AM97" s="632">
        <f t="shared" ref="AM97" si="203">IFERROR(Z97*$K97/$J97,0)</f>
        <v>0</v>
      </c>
      <c r="AN97" s="632">
        <f t="shared" ref="AN97" si="204">IFERROR(AA97*$K97/$J97,0)</f>
        <v>0</v>
      </c>
    </row>
    <row r="98" spans="1:40" s="390" customFormat="1" x14ac:dyDescent="0.35">
      <c r="A98" s="370"/>
      <c r="B98" s="370"/>
      <c r="C98" s="370"/>
      <c r="D98" s="370"/>
      <c r="E98" s="410" t="s">
        <v>588</v>
      </c>
      <c r="F98" s="428"/>
      <c r="G98" s="428"/>
      <c r="H98" s="429"/>
      <c r="I98" s="430"/>
      <c r="J98" s="413">
        <f>SUM(J99:J102)</f>
        <v>168475</v>
      </c>
      <c r="K98" s="622">
        <f t="shared" ref="K98:M98" si="205">SUM(K99:K102)</f>
        <v>168475</v>
      </c>
      <c r="L98" s="622">
        <f t="shared" si="205"/>
        <v>0</v>
      </c>
      <c r="M98" s="622">
        <f t="shared" si="205"/>
        <v>0</v>
      </c>
      <c r="N98" s="375"/>
      <c r="O98" s="431"/>
      <c r="P98" s="431"/>
      <c r="Q98" s="431"/>
      <c r="R98" s="431"/>
      <c r="S98" s="431"/>
      <c r="T98" s="431"/>
      <c r="U98" s="431"/>
      <c r="V98" s="431"/>
      <c r="W98" s="431"/>
      <c r="X98" s="431"/>
      <c r="Y98" s="431"/>
      <c r="Z98" s="431"/>
      <c r="AA98" s="431"/>
      <c r="AB98" s="375"/>
      <c r="AC98" s="431"/>
      <c r="AD98" s="431"/>
      <c r="AE98" s="431"/>
      <c r="AF98" s="431"/>
      <c r="AG98" s="431"/>
      <c r="AH98" s="431"/>
      <c r="AI98" s="431"/>
      <c r="AJ98" s="431"/>
      <c r="AK98" s="431"/>
      <c r="AL98" s="431"/>
      <c r="AM98" s="431"/>
      <c r="AN98" s="431"/>
    </row>
    <row r="99" spans="1:40" ht="10.75" customHeight="1" x14ac:dyDescent="0.35">
      <c r="A99" s="401" t="s">
        <v>583</v>
      </c>
      <c r="B99" s="401" t="s">
        <v>17</v>
      </c>
      <c r="C99" s="401" t="s">
        <v>753</v>
      </c>
      <c r="D99" s="401" t="s">
        <v>750</v>
      </c>
      <c r="E99" s="140" t="s">
        <v>950</v>
      </c>
      <c r="F99" s="402" t="s">
        <v>585</v>
      </c>
      <c r="G99" s="403">
        <v>1</v>
      </c>
      <c r="H99" s="404">
        <v>100000</v>
      </c>
      <c r="I99" s="405">
        <f>G99*H99</f>
        <v>100000</v>
      </c>
      <c r="J99" s="612">
        <f>yld*I99</f>
        <v>114999.99999999999</v>
      </c>
      <c r="K99" s="608">
        <f t="shared" ref="K99:K102" si="206">J99-L99-M99</f>
        <v>114999.99999999999</v>
      </c>
      <c r="L99" s="608"/>
      <c r="M99" s="608"/>
      <c r="O99" s="407">
        <v>15</v>
      </c>
      <c r="P99" s="408"/>
      <c r="Q99" s="408">
        <f>$J99</f>
        <v>114999.99999999999</v>
      </c>
      <c r="R99" s="408"/>
      <c r="S99" s="408"/>
      <c r="T99" s="408"/>
      <c r="U99" s="408"/>
      <c r="V99" s="408"/>
      <c r="W99" s="408"/>
      <c r="X99" s="408"/>
      <c r="Y99" s="408"/>
      <c r="Z99" s="408"/>
      <c r="AA99" s="408"/>
      <c r="AC99" s="632">
        <f t="shared" ref="AC99:AC102" si="207">IFERROR(P99*$K99/$J99,0)</f>
        <v>0</v>
      </c>
      <c r="AD99" s="632">
        <f t="shared" ref="AD99:AD102" si="208">IFERROR(Q99*$K99/$J99,0)</f>
        <v>114999.99999999999</v>
      </c>
      <c r="AE99" s="632">
        <f t="shared" ref="AE99:AE102" si="209">IFERROR(R99*$K99/$J99,0)</f>
        <v>0</v>
      </c>
      <c r="AF99" s="632">
        <f t="shared" ref="AF99:AF102" si="210">IFERROR(S99*$K99/$J99,0)</f>
        <v>0</v>
      </c>
      <c r="AG99" s="632">
        <f t="shared" ref="AG99:AG102" si="211">IFERROR(T99*$K99/$J99,0)</f>
        <v>0</v>
      </c>
      <c r="AH99" s="632">
        <f t="shared" ref="AH99:AH102" si="212">IFERROR(U99*$K99/$J99,0)</f>
        <v>0</v>
      </c>
      <c r="AI99" s="632">
        <f t="shared" ref="AI99:AI102" si="213">IFERROR(V99*$K99/$J99,0)</f>
        <v>0</v>
      </c>
      <c r="AJ99" s="632">
        <f t="shared" ref="AJ99:AJ102" si="214">IFERROR(W99*$K99/$J99,0)</f>
        <v>0</v>
      </c>
      <c r="AK99" s="632">
        <f t="shared" ref="AK99:AK102" si="215">IFERROR(X99*$K99/$J99,0)</f>
        <v>0</v>
      </c>
      <c r="AL99" s="632">
        <f t="shared" ref="AL99:AL102" si="216">IFERROR(Y99*$K99/$J99,0)</f>
        <v>0</v>
      </c>
      <c r="AM99" s="632">
        <f t="shared" ref="AM99:AM102" si="217">IFERROR(Z99*$K99/$J99,0)</f>
        <v>0</v>
      </c>
      <c r="AN99" s="632">
        <f t="shared" ref="AN99:AN102" si="218">IFERROR(AA99*$K99/$J99,0)</f>
        <v>0</v>
      </c>
    </row>
    <row r="100" spans="1:40" ht="10.75" customHeight="1" x14ac:dyDescent="0.35">
      <c r="A100" s="401" t="s">
        <v>583</v>
      </c>
      <c r="B100" s="401" t="s">
        <v>17</v>
      </c>
      <c r="C100" s="401" t="s">
        <v>753</v>
      </c>
      <c r="D100" s="401" t="s">
        <v>750</v>
      </c>
      <c r="E100" s="140" t="s">
        <v>605</v>
      </c>
      <c r="F100" s="402" t="s">
        <v>11</v>
      </c>
      <c r="G100" s="403">
        <v>650</v>
      </c>
      <c r="H100" s="417">
        <f>ROUND(1.3*7.8,0)</f>
        <v>10</v>
      </c>
      <c r="I100" s="405">
        <f>G100*H100</f>
        <v>6500</v>
      </c>
      <c r="J100" s="612">
        <f>yld*I100</f>
        <v>7474.9999999999991</v>
      </c>
      <c r="K100" s="608">
        <f t="shared" ref="K100" si="219">J100-L100-M100</f>
        <v>7474.9999999999991</v>
      </c>
      <c r="L100" s="608"/>
      <c r="M100" s="608"/>
      <c r="O100" s="407">
        <v>25</v>
      </c>
      <c r="P100" s="408"/>
      <c r="Q100" s="408">
        <f>$J100</f>
        <v>7474.9999999999991</v>
      </c>
      <c r="R100" s="408"/>
      <c r="S100" s="408"/>
      <c r="T100" s="408"/>
      <c r="U100" s="408"/>
      <c r="V100" s="408"/>
      <c r="W100" s="408"/>
      <c r="X100" s="408"/>
      <c r="Y100" s="408"/>
      <c r="Z100" s="408"/>
      <c r="AA100" s="408"/>
      <c r="AC100" s="632">
        <f t="shared" ref="AC100" si="220">IFERROR(P100*$K100/$J100,0)</f>
        <v>0</v>
      </c>
      <c r="AD100" s="632">
        <f t="shared" ref="AD100" si="221">IFERROR(Q100*$K100/$J100,0)</f>
        <v>7474.9999999999991</v>
      </c>
      <c r="AE100" s="632">
        <f t="shared" ref="AE100" si="222">IFERROR(R100*$K100/$J100,0)</f>
        <v>0</v>
      </c>
      <c r="AF100" s="632">
        <f t="shared" ref="AF100" si="223">IFERROR(S100*$K100/$J100,0)</f>
        <v>0</v>
      </c>
      <c r="AG100" s="632">
        <f t="shared" ref="AG100" si="224">IFERROR(T100*$K100/$J100,0)</f>
        <v>0</v>
      </c>
      <c r="AH100" s="632">
        <f t="shared" ref="AH100" si="225">IFERROR(U100*$K100/$J100,0)</f>
        <v>0</v>
      </c>
      <c r="AI100" s="632">
        <f t="shared" ref="AI100" si="226">IFERROR(V100*$K100/$J100,0)</f>
        <v>0</v>
      </c>
      <c r="AJ100" s="632">
        <f t="shared" ref="AJ100" si="227">IFERROR(W100*$K100/$J100,0)</f>
        <v>0</v>
      </c>
      <c r="AK100" s="632">
        <f t="shared" ref="AK100" si="228">IFERROR(X100*$K100/$J100,0)</f>
        <v>0</v>
      </c>
      <c r="AL100" s="632">
        <f t="shared" ref="AL100" si="229">IFERROR(Y100*$K100/$J100,0)</f>
        <v>0</v>
      </c>
      <c r="AM100" s="632">
        <f t="shared" ref="AM100" si="230">IFERROR(Z100*$K100/$J100,0)</f>
        <v>0</v>
      </c>
      <c r="AN100" s="632">
        <f t="shared" ref="AN100" si="231">IFERROR(AA100*$K100/$J100,0)</f>
        <v>0</v>
      </c>
    </row>
    <row r="101" spans="1:40" ht="10.75" customHeight="1" x14ac:dyDescent="0.35">
      <c r="A101" s="401" t="s">
        <v>583</v>
      </c>
      <c r="B101" s="401" t="s">
        <v>17</v>
      </c>
      <c r="C101" s="401" t="s">
        <v>753</v>
      </c>
      <c r="D101" s="401" t="s">
        <v>750</v>
      </c>
      <c r="E101" s="140" t="s">
        <v>931</v>
      </c>
      <c r="F101" s="402" t="s">
        <v>585</v>
      </c>
      <c r="G101" s="403">
        <v>1</v>
      </c>
      <c r="H101" s="404">
        <v>20000</v>
      </c>
      <c r="I101" s="405">
        <f>G101*H101</f>
        <v>20000</v>
      </c>
      <c r="J101" s="612">
        <f>yld*I101</f>
        <v>23000</v>
      </c>
      <c r="K101" s="608">
        <f t="shared" si="206"/>
        <v>23000</v>
      </c>
      <c r="L101" s="608"/>
      <c r="M101" s="608"/>
      <c r="O101" s="407">
        <v>15</v>
      </c>
      <c r="P101" s="408"/>
      <c r="Q101" s="408">
        <f>$J101</f>
        <v>23000</v>
      </c>
      <c r="R101" s="408"/>
      <c r="S101" s="408"/>
      <c r="T101" s="408"/>
      <c r="U101" s="408"/>
      <c r="V101" s="408"/>
      <c r="W101" s="408"/>
      <c r="X101" s="408"/>
      <c r="Y101" s="408"/>
      <c r="Z101" s="408"/>
      <c r="AA101" s="408"/>
      <c r="AC101" s="632">
        <f t="shared" si="207"/>
        <v>0</v>
      </c>
      <c r="AD101" s="632">
        <f t="shared" si="208"/>
        <v>23000</v>
      </c>
      <c r="AE101" s="632">
        <f t="shared" si="209"/>
        <v>0</v>
      </c>
      <c r="AF101" s="632">
        <f t="shared" si="210"/>
        <v>0</v>
      </c>
      <c r="AG101" s="632">
        <f t="shared" si="211"/>
        <v>0</v>
      </c>
      <c r="AH101" s="632">
        <f t="shared" si="212"/>
        <v>0</v>
      </c>
      <c r="AI101" s="632">
        <f t="shared" si="213"/>
        <v>0</v>
      </c>
      <c r="AJ101" s="632">
        <f t="shared" si="214"/>
        <v>0</v>
      </c>
      <c r="AK101" s="632">
        <f t="shared" si="215"/>
        <v>0</v>
      </c>
      <c r="AL101" s="632">
        <f t="shared" si="216"/>
        <v>0</v>
      </c>
      <c r="AM101" s="632">
        <f t="shared" si="217"/>
        <v>0</v>
      </c>
      <c r="AN101" s="632">
        <f t="shared" si="218"/>
        <v>0</v>
      </c>
    </row>
    <row r="102" spans="1:40" s="390" customFormat="1" x14ac:dyDescent="0.35">
      <c r="A102" s="401" t="s">
        <v>583</v>
      </c>
      <c r="B102" s="401" t="s">
        <v>17</v>
      </c>
      <c r="C102" s="401" t="s">
        <v>753</v>
      </c>
      <c r="D102" s="401" t="s">
        <v>750</v>
      </c>
      <c r="E102" s="140" t="s">
        <v>932</v>
      </c>
      <c r="F102" s="402" t="s">
        <v>585</v>
      </c>
      <c r="G102" s="403">
        <v>1</v>
      </c>
      <c r="H102" s="404">
        <v>20000</v>
      </c>
      <c r="I102" s="405">
        <f>G102*H102</f>
        <v>20000</v>
      </c>
      <c r="J102" s="612">
        <f>yld*I102</f>
        <v>23000</v>
      </c>
      <c r="K102" s="608">
        <f t="shared" si="206"/>
        <v>23000</v>
      </c>
      <c r="L102" s="608"/>
      <c r="M102" s="608"/>
      <c r="N102" s="375"/>
      <c r="O102" s="407">
        <v>15</v>
      </c>
      <c r="P102" s="408"/>
      <c r="Q102" s="408">
        <f>$J102</f>
        <v>23000</v>
      </c>
      <c r="R102" s="408"/>
      <c r="S102" s="408"/>
      <c r="T102" s="408"/>
      <c r="U102" s="408"/>
      <c r="V102" s="408"/>
      <c r="W102" s="408"/>
      <c r="X102" s="408"/>
      <c r="Y102" s="408"/>
      <c r="Z102" s="408"/>
      <c r="AA102" s="408"/>
      <c r="AB102" s="375"/>
      <c r="AC102" s="632">
        <f t="shared" si="207"/>
        <v>0</v>
      </c>
      <c r="AD102" s="632">
        <f t="shared" si="208"/>
        <v>23000</v>
      </c>
      <c r="AE102" s="632">
        <f t="shared" si="209"/>
        <v>0</v>
      </c>
      <c r="AF102" s="632">
        <f t="shared" si="210"/>
        <v>0</v>
      </c>
      <c r="AG102" s="632">
        <f t="shared" si="211"/>
        <v>0</v>
      </c>
      <c r="AH102" s="632">
        <f t="shared" si="212"/>
        <v>0</v>
      </c>
      <c r="AI102" s="632">
        <f t="shared" si="213"/>
        <v>0</v>
      </c>
      <c r="AJ102" s="632">
        <f t="shared" si="214"/>
        <v>0</v>
      </c>
      <c r="AK102" s="632">
        <f t="shared" si="215"/>
        <v>0</v>
      </c>
      <c r="AL102" s="632">
        <f t="shared" si="216"/>
        <v>0</v>
      </c>
      <c r="AM102" s="632">
        <f t="shared" si="217"/>
        <v>0</v>
      </c>
      <c r="AN102" s="632">
        <f t="shared" si="218"/>
        <v>0</v>
      </c>
    </row>
    <row r="103" spans="1:40" ht="10" x14ac:dyDescent="0.35">
      <c r="E103" s="420" t="s">
        <v>594</v>
      </c>
      <c r="F103" s="421"/>
      <c r="G103" s="421"/>
      <c r="H103" s="422"/>
      <c r="I103" s="423"/>
      <c r="J103" s="614">
        <f>J105+J108</f>
        <v>527620</v>
      </c>
      <c r="K103" s="617">
        <f>K105+K108</f>
        <v>105524</v>
      </c>
      <c r="L103" s="617">
        <f>L105+L108</f>
        <v>316571.99999999994</v>
      </c>
      <c r="M103" s="617">
        <f>M105+M108</f>
        <v>105524</v>
      </c>
      <c r="O103" s="375"/>
      <c r="AC103" s="375"/>
      <c r="AD103" s="375"/>
      <c r="AE103" s="375"/>
      <c r="AF103" s="375"/>
      <c r="AG103" s="375"/>
      <c r="AH103" s="375"/>
      <c r="AI103" s="375"/>
      <c r="AJ103" s="375"/>
      <c r="AK103" s="375"/>
      <c r="AL103" s="375"/>
      <c r="AM103" s="375"/>
      <c r="AN103" s="375"/>
    </row>
    <row r="104" spans="1:40" x14ac:dyDescent="0.35">
      <c r="A104" s="376" t="s">
        <v>8</v>
      </c>
      <c r="B104" s="376" t="s">
        <v>14</v>
      </c>
      <c r="C104" s="376" t="s">
        <v>13</v>
      </c>
      <c r="D104" s="376" t="s">
        <v>6</v>
      </c>
      <c r="E104" s="377" t="s">
        <v>0</v>
      </c>
      <c r="F104" s="378" t="s">
        <v>1</v>
      </c>
      <c r="G104" s="379" t="s">
        <v>2</v>
      </c>
      <c r="H104" s="380" t="s">
        <v>3</v>
      </c>
      <c r="I104" s="380" t="s">
        <v>4</v>
      </c>
      <c r="J104" s="609" t="s">
        <v>52</v>
      </c>
      <c r="K104" s="623"/>
      <c r="L104" s="627">
        <v>0.6</v>
      </c>
      <c r="M104" s="627">
        <v>0.2</v>
      </c>
      <c r="N104" s="390"/>
      <c r="O104" s="395" t="s">
        <v>181</v>
      </c>
      <c r="P104" s="382">
        <v>2024</v>
      </c>
      <c r="Q104" s="382">
        <v>2025</v>
      </c>
      <c r="R104" s="382">
        <v>2026</v>
      </c>
      <c r="S104" s="382">
        <v>2027</v>
      </c>
      <c r="T104" s="383">
        <v>2028</v>
      </c>
      <c r="U104" s="383">
        <v>2029</v>
      </c>
      <c r="V104" s="383">
        <v>2030</v>
      </c>
      <c r="W104" s="383">
        <v>2031</v>
      </c>
      <c r="X104" s="383">
        <v>2032</v>
      </c>
      <c r="Y104" s="383">
        <v>2033</v>
      </c>
      <c r="Z104" s="383">
        <v>2034</v>
      </c>
      <c r="AA104" s="383">
        <v>2035</v>
      </c>
      <c r="AC104" s="382">
        <v>2024</v>
      </c>
      <c r="AD104" s="382">
        <v>2025</v>
      </c>
      <c r="AE104" s="382">
        <v>2026</v>
      </c>
      <c r="AF104" s="382">
        <v>2027</v>
      </c>
      <c r="AG104" s="383">
        <v>2028</v>
      </c>
      <c r="AH104" s="383">
        <v>2029</v>
      </c>
      <c r="AI104" s="383">
        <v>2030</v>
      </c>
      <c r="AJ104" s="383">
        <v>2031</v>
      </c>
      <c r="AK104" s="383">
        <v>2032</v>
      </c>
      <c r="AL104" s="383">
        <v>2033</v>
      </c>
      <c r="AM104" s="383">
        <v>2034</v>
      </c>
      <c r="AN104" s="383">
        <v>2035</v>
      </c>
    </row>
    <row r="105" spans="1:40" x14ac:dyDescent="0.35">
      <c r="E105" s="396" t="s">
        <v>582</v>
      </c>
      <c r="F105" s="397"/>
      <c r="G105" s="397"/>
      <c r="H105" s="398"/>
      <c r="I105" s="399"/>
      <c r="J105" s="399">
        <f>SUM(J106:J107)</f>
        <v>111492.49999999999</v>
      </c>
      <c r="K105" s="621">
        <f t="shared" ref="K105:M105" si="232">SUM(K106:K107)</f>
        <v>22298.5</v>
      </c>
      <c r="L105" s="621">
        <f t="shared" si="232"/>
        <v>66895.499999999985</v>
      </c>
      <c r="M105" s="621">
        <f t="shared" si="232"/>
        <v>22298.5</v>
      </c>
      <c r="O105" s="400"/>
      <c r="P105" s="400"/>
      <c r="Q105" s="400"/>
      <c r="R105" s="400"/>
      <c r="S105" s="400"/>
      <c r="T105" s="400"/>
      <c r="U105" s="400"/>
      <c r="V105" s="400"/>
      <c r="W105" s="400"/>
      <c r="X105" s="400"/>
      <c r="Y105" s="400"/>
      <c r="Z105" s="400"/>
      <c r="AA105" s="400"/>
      <c r="AC105" s="400"/>
      <c r="AD105" s="400"/>
      <c r="AE105" s="400"/>
      <c r="AF105" s="400"/>
      <c r="AG105" s="400"/>
      <c r="AH105" s="400"/>
      <c r="AI105" s="400"/>
      <c r="AJ105" s="400"/>
      <c r="AK105" s="400"/>
      <c r="AL105" s="400"/>
      <c r="AM105" s="400"/>
      <c r="AN105" s="400"/>
    </row>
    <row r="106" spans="1:40" x14ac:dyDescent="0.35">
      <c r="A106" s="401" t="s">
        <v>595</v>
      </c>
      <c r="B106" s="401" t="s">
        <v>15</v>
      </c>
      <c r="C106" s="401" t="s">
        <v>745</v>
      </c>
      <c r="D106" s="401" t="s">
        <v>750</v>
      </c>
      <c r="E106" s="161" t="s">
        <v>714</v>
      </c>
      <c r="F106" s="402" t="s">
        <v>9</v>
      </c>
      <c r="G106" s="403">
        <v>700</v>
      </c>
      <c r="H106" s="404">
        <f>Ühikhinnad!$C$2</f>
        <v>130</v>
      </c>
      <c r="I106" s="405">
        <f t="shared" ref="I106" si="233">G106*H106</f>
        <v>91000</v>
      </c>
      <c r="J106" s="612">
        <f t="shared" ref="J106" si="234">yld*I106</f>
        <v>104649.99999999999</v>
      </c>
      <c r="K106" s="608">
        <f t="shared" ref="K106" si="235">J106-L106-M106</f>
        <v>20930</v>
      </c>
      <c r="L106" s="608">
        <f>L$104*$J106</f>
        <v>62789.999999999985</v>
      </c>
      <c r="M106" s="608">
        <f>M$104*$J106</f>
        <v>20930</v>
      </c>
      <c r="N106" s="406"/>
      <c r="O106" s="407">
        <v>50</v>
      </c>
      <c r="P106" s="408"/>
      <c r="Q106" s="408"/>
      <c r="R106" s="408"/>
      <c r="S106" s="408"/>
      <c r="T106" s="419">
        <f t="shared" ref="T106:AA115" si="236">$J106/8</f>
        <v>13081.249999999998</v>
      </c>
      <c r="U106" s="419">
        <f t="shared" si="236"/>
        <v>13081.249999999998</v>
      </c>
      <c r="V106" s="419">
        <f t="shared" si="236"/>
        <v>13081.249999999998</v>
      </c>
      <c r="W106" s="419">
        <f t="shared" si="236"/>
        <v>13081.249999999998</v>
      </c>
      <c r="X106" s="419">
        <f t="shared" si="236"/>
        <v>13081.249999999998</v>
      </c>
      <c r="Y106" s="419">
        <f t="shared" si="236"/>
        <v>13081.249999999998</v>
      </c>
      <c r="Z106" s="419">
        <f t="shared" si="236"/>
        <v>13081.249999999998</v>
      </c>
      <c r="AA106" s="419">
        <f t="shared" si="236"/>
        <v>13081.249999999998</v>
      </c>
      <c r="AC106" s="632">
        <f t="shared" ref="AC106" si="237">IFERROR(P106*$K106/$J106,0)</f>
        <v>0</v>
      </c>
      <c r="AD106" s="632">
        <f t="shared" ref="AD106" si="238">IFERROR(Q106*$K106/$J106,0)</f>
        <v>0</v>
      </c>
      <c r="AE106" s="632">
        <f t="shared" ref="AE106" si="239">IFERROR(R106*$K106/$J106,0)</f>
        <v>0</v>
      </c>
      <c r="AF106" s="632">
        <f t="shared" ref="AF106" si="240">IFERROR(S106*$K106/$J106,0)</f>
        <v>0</v>
      </c>
      <c r="AG106" s="632">
        <f t="shared" ref="AG106" si="241">IFERROR(T106*$K106/$J106,0)</f>
        <v>2616.25</v>
      </c>
      <c r="AH106" s="632">
        <f t="shared" ref="AH106" si="242">IFERROR(U106*$K106/$J106,0)</f>
        <v>2616.25</v>
      </c>
      <c r="AI106" s="632">
        <f t="shared" ref="AI106" si="243">IFERROR(V106*$K106/$J106,0)</f>
        <v>2616.25</v>
      </c>
      <c r="AJ106" s="632">
        <f t="shared" ref="AJ106" si="244">IFERROR(W106*$K106/$J106,0)</f>
        <v>2616.25</v>
      </c>
      <c r="AK106" s="632">
        <f t="shared" ref="AK106" si="245">IFERROR(X106*$K106/$J106,0)</f>
        <v>2616.25</v>
      </c>
      <c r="AL106" s="632">
        <f t="shared" ref="AL106" si="246">IFERROR(Y106*$K106/$J106,0)</f>
        <v>2616.25</v>
      </c>
      <c r="AM106" s="632">
        <f t="shared" ref="AM106" si="247">IFERROR(Z106*$K106/$J106,0)</f>
        <v>2616.25</v>
      </c>
      <c r="AN106" s="632">
        <f t="shared" ref="AN106" si="248">IFERROR(AA106*$K106/$J106,0)</f>
        <v>2616.25</v>
      </c>
    </row>
    <row r="107" spans="1:40" x14ac:dyDescent="0.35">
      <c r="A107" s="401" t="s">
        <v>595</v>
      </c>
      <c r="B107" s="401" t="s">
        <v>15</v>
      </c>
      <c r="C107" s="401" t="s">
        <v>745</v>
      </c>
      <c r="D107" s="401" t="s">
        <v>750</v>
      </c>
      <c r="E107" s="161" t="s">
        <v>970</v>
      </c>
      <c r="F107" s="402" t="s">
        <v>5</v>
      </c>
      <c r="G107" s="403">
        <v>17</v>
      </c>
      <c r="H107" s="404">
        <f>Ühikhinnad!$C$11</f>
        <v>350</v>
      </c>
      <c r="I107" s="405">
        <f t="shared" ref="I107" si="249">G107*H107</f>
        <v>5950</v>
      </c>
      <c r="J107" s="612">
        <f t="shared" ref="J107" si="250">yld*I107</f>
        <v>6842.4999999999991</v>
      </c>
      <c r="K107" s="608">
        <f t="shared" ref="K107" si="251">J107-L107-M107</f>
        <v>1368.5</v>
      </c>
      <c r="L107" s="608">
        <f>L$104*$J107</f>
        <v>4105.4999999999991</v>
      </c>
      <c r="M107" s="608">
        <f>M$104*$J107</f>
        <v>1368.5</v>
      </c>
      <c r="N107" s="406"/>
      <c r="O107" s="407">
        <v>50</v>
      </c>
      <c r="P107" s="408"/>
      <c r="Q107" s="408"/>
      <c r="R107" s="408"/>
      <c r="S107" s="408"/>
      <c r="T107" s="419">
        <f t="shared" si="236"/>
        <v>855.31249999999989</v>
      </c>
      <c r="U107" s="419">
        <f t="shared" si="236"/>
        <v>855.31249999999989</v>
      </c>
      <c r="V107" s="419">
        <f t="shared" si="236"/>
        <v>855.31249999999989</v>
      </c>
      <c r="W107" s="419">
        <f t="shared" si="236"/>
        <v>855.31249999999989</v>
      </c>
      <c r="X107" s="419">
        <f t="shared" si="236"/>
        <v>855.31249999999989</v>
      </c>
      <c r="Y107" s="419">
        <f t="shared" si="236"/>
        <v>855.31249999999989</v>
      </c>
      <c r="Z107" s="419">
        <f t="shared" si="236"/>
        <v>855.31249999999989</v>
      </c>
      <c r="AA107" s="419">
        <f t="shared" si="236"/>
        <v>855.31249999999989</v>
      </c>
      <c r="AC107" s="632">
        <f t="shared" ref="AC107" si="252">IFERROR(P107*$K107/$J107,0)</f>
        <v>0</v>
      </c>
      <c r="AD107" s="632">
        <f t="shared" ref="AD107" si="253">IFERROR(Q107*$K107/$J107,0)</f>
        <v>0</v>
      </c>
      <c r="AE107" s="632">
        <f t="shared" ref="AE107" si="254">IFERROR(R107*$K107/$J107,0)</f>
        <v>0</v>
      </c>
      <c r="AF107" s="632">
        <f t="shared" ref="AF107" si="255">IFERROR(S107*$K107/$J107,0)</f>
        <v>0</v>
      </c>
      <c r="AG107" s="632">
        <f t="shared" ref="AG107" si="256">IFERROR(T107*$K107/$J107,0)</f>
        <v>171.0625</v>
      </c>
      <c r="AH107" s="632">
        <f t="shared" ref="AH107" si="257">IFERROR(U107*$K107/$J107,0)</f>
        <v>171.0625</v>
      </c>
      <c r="AI107" s="632">
        <f t="shared" ref="AI107" si="258">IFERROR(V107*$K107/$J107,0)</f>
        <v>171.0625</v>
      </c>
      <c r="AJ107" s="632">
        <f t="shared" ref="AJ107" si="259">IFERROR(W107*$K107/$J107,0)</f>
        <v>171.0625</v>
      </c>
      <c r="AK107" s="632">
        <f t="shared" ref="AK107" si="260">IFERROR(X107*$K107/$J107,0)</f>
        <v>171.0625</v>
      </c>
      <c r="AL107" s="632">
        <f t="shared" ref="AL107" si="261">IFERROR(Y107*$K107/$J107,0)</f>
        <v>171.0625</v>
      </c>
      <c r="AM107" s="632">
        <f t="shared" ref="AM107" si="262">IFERROR(Z107*$K107/$J107,0)</f>
        <v>171.0625</v>
      </c>
      <c r="AN107" s="632">
        <f t="shared" ref="AN107" si="263">IFERROR(AA107*$K107/$J107,0)</f>
        <v>171.0625</v>
      </c>
    </row>
    <row r="108" spans="1:40" s="390" customFormat="1" ht="10.25" customHeight="1" x14ac:dyDescent="0.35">
      <c r="A108" s="370"/>
      <c r="B108" s="370"/>
      <c r="C108" s="370"/>
      <c r="D108" s="370"/>
      <c r="E108" s="410" t="s">
        <v>588</v>
      </c>
      <c r="F108" s="428"/>
      <c r="G108" s="428"/>
      <c r="H108" s="429"/>
      <c r="I108" s="430"/>
      <c r="J108" s="413">
        <f>SUM(J109:J115)</f>
        <v>416127.5</v>
      </c>
      <c r="K108" s="622">
        <f t="shared" ref="K108:M108" si="264">SUM(K109:K115)</f>
        <v>83225.5</v>
      </c>
      <c r="L108" s="622">
        <f t="shared" si="264"/>
        <v>249676.49999999997</v>
      </c>
      <c r="M108" s="622">
        <f t="shared" si="264"/>
        <v>83225.5</v>
      </c>
      <c r="N108" s="375"/>
      <c r="O108" s="431"/>
      <c r="P108" s="431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375"/>
      <c r="AC108" s="431"/>
      <c r="AD108" s="431"/>
      <c r="AE108" s="431"/>
      <c r="AF108" s="431"/>
      <c r="AG108" s="431"/>
      <c r="AH108" s="431"/>
      <c r="AI108" s="431"/>
      <c r="AJ108" s="431"/>
      <c r="AK108" s="431"/>
      <c r="AL108" s="431"/>
      <c r="AM108" s="431"/>
      <c r="AN108" s="431"/>
    </row>
    <row r="109" spans="1:40" ht="10.25" customHeight="1" x14ac:dyDescent="0.35">
      <c r="A109" s="401" t="s">
        <v>595</v>
      </c>
      <c r="B109" s="401" t="s">
        <v>17</v>
      </c>
      <c r="C109" s="401" t="s">
        <v>614</v>
      </c>
      <c r="D109" s="401" t="s">
        <v>750</v>
      </c>
      <c r="E109" s="161" t="s">
        <v>715</v>
      </c>
      <c r="F109" s="144" t="s">
        <v>9</v>
      </c>
      <c r="G109" s="403">
        <v>585</v>
      </c>
      <c r="H109" s="404">
        <f>Ühikhinnad!$C$4</f>
        <v>160</v>
      </c>
      <c r="I109" s="405">
        <f t="shared" ref="I109:I112" si="265">G109*H109</f>
        <v>93600</v>
      </c>
      <c r="J109" s="612">
        <f t="shared" ref="J109:J112" si="266">yld*I109</f>
        <v>107639.99999999999</v>
      </c>
      <c r="K109" s="608">
        <f t="shared" ref="K109:K112" si="267">J109-L109-M109</f>
        <v>21528</v>
      </c>
      <c r="L109" s="608">
        <f t="shared" ref="L109:M115" si="268">L$104*$J109</f>
        <v>64583.999999999985</v>
      </c>
      <c r="M109" s="608">
        <f t="shared" si="268"/>
        <v>21528</v>
      </c>
      <c r="O109" s="407">
        <v>50</v>
      </c>
      <c r="P109" s="408"/>
      <c r="Q109" s="408"/>
      <c r="R109" s="408"/>
      <c r="S109" s="408"/>
      <c r="T109" s="419">
        <f t="shared" si="236"/>
        <v>13454.999999999998</v>
      </c>
      <c r="U109" s="419">
        <f t="shared" si="236"/>
        <v>13454.999999999998</v>
      </c>
      <c r="V109" s="419">
        <f t="shared" si="236"/>
        <v>13454.999999999998</v>
      </c>
      <c r="W109" s="419">
        <f t="shared" si="236"/>
        <v>13454.999999999998</v>
      </c>
      <c r="X109" s="419">
        <f t="shared" si="236"/>
        <v>13454.999999999998</v>
      </c>
      <c r="Y109" s="419">
        <f t="shared" si="236"/>
        <v>13454.999999999998</v>
      </c>
      <c r="Z109" s="419">
        <f t="shared" si="236"/>
        <v>13454.999999999998</v>
      </c>
      <c r="AA109" s="419">
        <f t="shared" si="236"/>
        <v>13454.999999999998</v>
      </c>
      <c r="AC109" s="632">
        <f t="shared" ref="AC109:AC112" si="269">IFERROR(P109*$K109/$J109,0)</f>
        <v>0</v>
      </c>
      <c r="AD109" s="632">
        <f t="shared" ref="AD109:AD112" si="270">IFERROR(Q109*$K109/$J109,0)</f>
        <v>0</v>
      </c>
      <c r="AE109" s="632">
        <f t="shared" ref="AE109:AE112" si="271">IFERROR(R109*$K109/$J109,0)</f>
        <v>0</v>
      </c>
      <c r="AF109" s="632">
        <f t="shared" ref="AF109:AF112" si="272">IFERROR(S109*$K109/$J109,0)</f>
        <v>0</v>
      </c>
      <c r="AG109" s="632">
        <f t="shared" ref="AG109:AG112" si="273">IFERROR(T109*$K109/$J109,0)</f>
        <v>2691</v>
      </c>
      <c r="AH109" s="632">
        <f t="shared" ref="AH109:AH112" si="274">IFERROR(U109*$K109/$J109,0)</f>
        <v>2691</v>
      </c>
      <c r="AI109" s="632">
        <f t="shared" ref="AI109:AI112" si="275">IFERROR(V109*$K109/$J109,0)</f>
        <v>2691</v>
      </c>
      <c r="AJ109" s="632">
        <f t="shared" ref="AJ109:AJ112" si="276">IFERROR(W109*$K109/$J109,0)</f>
        <v>2691</v>
      </c>
      <c r="AK109" s="632">
        <f t="shared" ref="AK109:AK112" si="277">IFERROR(X109*$K109/$J109,0)</f>
        <v>2691</v>
      </c>
      <c r="AL109" s="632">
        <f t="shared" ref="AL109:AL112" si="278">IFERROR(Y109*$K109/$J109,0)</f>
        <v>2691</v>
      </c>
      <c r="AM109" s="632">
        <f t="shared" ref="AM109:AM112" si="279">IFERROR(Z109*$K109/$J109,0)</f>
        <v>2691</v>
      </c>
      <c r="AN109" s="632">
        <f t="shared" ref="AN109:AN112" si="280">IFERROR(AA109*$K109/$J109,0)</f>
        <v>2691</v>
      </c>
    </row>
    <row r="110" spans="1:40" ht="10.25" customHeight="1" x14ac:dyDescent="0.35">
      <c r="A110" s="401" t="s">
        <v>595</v>
      </c>
      <c r="B110" s="401" t="s">
        <v>17</v>
      </c>
      <c r="C110" s="401" t="s">
        <v>614</v>
      </c>
      <c r="D110" s="401" t="s">
        <v>750</v>
      </c>
      <c r="E110" s="161" t="s">
        <v>716</v>
      </c>
      <c r="F110" s="144" t="s">
        <v>9</v>
      </c>
      <c r="G110" s="403">
        <v>225</v>
      </c>
      <c r="H110" s="404">
        <f>Ühikhinnad!$C$5</f>
        <v>130</v>
      </c>
      <c r="I110" s="405">
        <f t="shared" si="265"/>
        <v>29250</v>
      </c>
      <c r="J110" s="612">
        <f t="shared" si="266"/>
        <v>33637.5</v>
      </c>
      <c r="K110" s="608">
        <f t="shared" si="267"/>
        <v>6727.5</v>
      </c>
      <c r="L110" s="608">
        <f t="shared" si="268"/>
        <v>20182.5</v>
      </c>
      <c r="M110" s="608">
        <f t="shared" si="268"/>
        <v>6727.5</v>
      </c>
      <c r="O110" s="407">
        <v>50</v>
      </c>
      <c r="P110" s="408"/>
      <c r="Q110" s="408"/>
      <c r="R110" s="408"/>
      <c r="S110" s="408"/>
      <c r="T110" s="419">
        <f t="shared" si="236"/>
        <v>4204.6875</v>
      </c>
      <c r="U110" s="419">
        <f t="shared" si="236"/>
        <v>4204.6875</v>
      </c>
      <c r="V110" s="419">
        <f t="shared" si="236"/>
        <v>4204.6875</v>
      </c>
      <c r="W110" s="419">
        <f t="shared" si="236"/>
        <v>4204.6875</v>
      </c>
      <c r="X110" s="419">
        <f t="shared" si="236"/>
        <v>4204.6875</v>
      </c>
      <c r="Y110" s="419">
        <f t="shared" si="236"/>
        <v>4204.6875</v>
      </c>
      <c r="Z110" s="419">
        <f t="shared" si="236"/>
        <v>4204.6875</v>
      </c>
      <c r="AA110" s="419">
        <f t="shared" si="236"/>
        <v>4204.6875</v>
      </c>
      <c r="AC110" s="632">
        <f t="shared" si="269"/>
        <v>0</v>
      </c>
      <c r="AD110" s="632">
        <f t="shared" si="270"/>
        <v>0</v>
      </c>
      <c r="AE110" s="632">
        <f t="shared" si="271"/>
        <v>0</v>
      </c>
      <c r="AF110" s="632">
        <f t="shared" si="272"/>
        <v>0</v>
      </c>
      <c r="AG110" s="632">
        <f t="shared" si="273"/>
        <v>840.9375</v>
      </c>
      <c r="AH110" s="632">
        <f t="shared" si="274"/>
        <v>840.9375</v>
      </c>
      <c r="AI110" s="632">
        <f t="shared" si="275"/>
        <v>840.9375</v>
      </c>
      <c r="AJ110" s="632">
        <f t="shared" si="276"/>
        <v>840.9375</v>
      </c>
      <c r="AK110" s="632">
        <f t="shared" si="277"/>
        <v>840.9375</v>
      </c>
      <c r="AL110" s="632">
        <f t="shared" si="278"/>
        <v>840.9375</v>
      </c>
      <c r="AM110" s="632">
        <f t="shared" si="279"/>
        <v>840.9375</v>
      </c>
      <c r="AN110" s="632">
        <f t="shared" si="280"/>
        <v>840.9375</v>
      </c>
    </row>
    <row r="111" spans="1:40" ht="10.25" customHeight="1" x14ac:dyDescent="0.35">
      <c r="A111" s="401" t="s">
        <v>595</v>
      </c>
      <c r="B111" s="401" t="s">
        <v>17</v>
      </c>
      <c r="C111" s="401" t="s">
        <v>753</v>
      </c>
      <c r="D111" s="401" t="s">
        <v>750</v>
      </c>
      <c r="E111" s="161" t="s">
        <v>717</v>
      </c>
      <c r="F111" s="144" t="s">
        <v>5</v>
      </c>
      <c r="G111" s="425">
        <v>1</v>
      </c>
      <c r="H111" s="404">
        <f>Ühikhinnad!$C$7</f>
        <v>25000</v>
      </c>
      <c r="I111" s="405">
        <f t="shared" si="265"/>
        <v>25000</v>
      </c>
      <c r="J111" s="612">
        <f t="shared" si="266"/>
        <v>28749.999999999996</v>
      </c>
      <c r="K111" s="608">
        <f t="shared" si="267"/>
        <v>5750</v>
      </c>
      <c r="L111" s="608">
        <f t="shared" si="268"/>
        <v>17249.999999999996</v>
      </c>
      <c r="M111" s="608">
        <f t="shared" si="268"/>
        <v>5750</v>
      </c>
      <c r="O111" s="407">
        <v>25</v>
      </c>
      <c r="P111" s="408"/>
      <c r="Q111" s="408"/>
      <c r="R111" s="408"/>
      <c r="S111" s="408"/>
      <c r="T111" s="419">
        <f t="shared" si="236"/>
        <v>3593.7499999999995</v>
      </c>
      <c r="U111" s="419">
        <f t="shared" si="236"/>
        <v>3593.7499999999995</v>
      </c>
      <c r="V111" s="419">
        <f t="shared" si="236"/>
        <v>3593.7499999999995</v>
      </c>
      <c r="W111" s="419">
        <f t="shared" si="236"/>
        <v>3593.7499999999995</v>
      </c>
      <c r="X111" s="419">
        <f t="shared" si="236"/>
        <v>3593.7499999999995</v>
      </c>
      <c r="Y111" s="419">
        <f t="shared" si="236"/>
        <v>3593.7499999999995</v>
      </c>
      <c r="Z111" s="419">
        <f t="shared" si="236"/>
        <v>3593.7499999999995</v>
      </c>
      <c r="AA111" s="419">
        <f t="shared" si="236"/>
        <v>3593.7499999999995</v>
      </c>
      <c r="AC111" s="632">
        <f t="shared" si="269"/>
        <v>0</v>
      </c>
      <c r="AD111" s="632">
        <f t="shared" si="270"/>
        <v>0</v>
      </c>
      <c r="AE111" s="632">
        <f t="shared" si="271"/>
        <v>0</v>
      </c>
      <c r="AF111" s="632">
        <f t="shared" si="272"/>
        <v>0</v>
      </c>
      <c r="AG111" s="632">
        <f t="shared" si="273"/>
        <v>718.75</v>
      </c>
      <c r="AH111" s="632">
        <f t="shared" si="274"/>
        <v>718.75</v>
      </c>
      <c r="AI111" s="632">
        <f t="shared" si="275"/>
        <v>718.75</v>
      </c>
      <c r="AJ111" s="632">
        <f t="shared" si="276"/>
        <v>718.75</v>
      </c>
      <c r="AK111" s="632">
        <f t="shared" si="277"/>
        <v>718.75</v>
      </c>
      <c r="AL111" s="632">
        <f t="shared" si="278"/>
        <v>718.75</v>
      </c>
      <c r="AM111" s="632">
        <f t="shared" si="279"/>
        <v>718.75</v>
      </c>
      <c r="AN111" s="632">
        <f t="shared" si="280"/>
        <v>718.75</v>
      </c>
    </row>
    <row r="112" spans="1:40" ht="10.25" customHeight="1" x14ac:dyDescent="0.35">
      <c r="A112" s="401" t="s">
        <v>595</v>
      </c>
      <c r="B112" s="401" t="s">
        <v>17</v>
      </c>
      <c r="C112" s="401" t="s">
        <v>614</v>
      </c>
      <c r="D112" s="401" t="s">
        <v>750</v>
      </c>
      <c r="E112" s="161" t="s">
        <v>970</v>
      </c>
      <c r="F112" s="144" t="s">
        <v>5</v>
      </c>
      <c r="G112" s="425">
        <v>17</v>
      </c>
      <c r="H112" s="404">
        <f>Ühikhinnad!$C$12</f>
        <v>350</v>
      </c>
      <c r="I112" s="405">
        <f t="shared" si="265"/>
        <v>5950</v>
      </c>
      <c r="J112" s="612">
        <f t="shared" si="266"/>
        <v>6842.4999999999991</v>
      </c>
      <c r="K112" s="608">
        <f t="shared" si="267"/>
        <v>1368.5</v>
      </c>
      <c r="L112" s="608">
        <f t="shared" si="268"/>
        <v>4105.4999999999991</v>
      </c>
      <c r="M112" s="608">
        <f t="shared" si="268"/>
        <v>1368.5</v>
      </c>
      <c r="O112" s="407">
        <v>50</v>
      </c>
      <c r="P112" s="408"/>
      <c r="Q112" s="408"/>
      <c r="R112" s="408"/>
      <c r="S112" s="408"/>
      <c r="T112" s="419">
        <f t="shared" si="236"/>
        <v>855.31249999999989</v>
      </c>
      <c r="U112" s="419">
        <f t="shared" si="236"/>
        <v>855.31249999999989</v>
      </c>
      <c r="V112" s="419">
        <f t="shared" si="236"/>
        <v>855.31249999999989</v>
      </c>
      <c r="W112" s="419">
        <f t="shared" si="236"/>
        <v>855.31249999999989</v>
      </c>
      <c r="X112" s="419">
        <f t="shared" si="236"/>
        <v>855.31249999999989</v>
      </c>
      <c r="Y112" s="419">
        <f t="shared" si="236"/>
        <v>855.31249999999989</v>
      </c>
      <c r="Z112" s="419">
        <f t="shared" si="236"/>
        <v>855.31249999999989</v>
      </c>
      <c r="AA112" s="419">
        <f t="shared" si="236"/>
        <v>855.31249999999989</v>
      </c>
      <c r="AC112" s="632">
        <f t="shared" si="269"/>
        <v>0</v>
      </c>
      <c r="AD112" s="632">
        <f t="shared" si="270"/>
        <v>0</v>
      </c>
      <c r="AE112" s="632">
        <f t="shared" si="271"/>
        <v>0</v>
      </c>
      <c r="AF112" s="632">
        <f t="shared" si="272"/>
        <v>0</v>
      </c>
      <c r="AG112" s="632">
        <f t="shared" si="273"/>
        <v>171.0625</v>
      </c>
      <c r="AH112" s="632">
        <f t="shared" si="274"/>
        <v>171.0625</v>
      </c>
      <c r="AI112" s="632">
        <f t="shared" si="275"/>
        <v>171.0625</v>
      </c>
      <c r="AJ112" s="632">
        <f t="shared" si="276"/>
        <v>171.0625</v>
      </c>
      <c r="AK112" s="632">
        <f t="shared" si="277"/>
        <v>171.0625</v>
      </c>
      <c r="AL112" s="632">
        <f t="shared" si="278"/>
        <v>171.0625</v>
      </c>
      <c r="AM112" s="632">
        <f t="shared" si="279"/>
        <v>171.0625</v>
      </c>
      <c r="AN112" s="632">
        <f t="shared" si="280"/>
        <v>171.0625</v>
      </c>
    </row>
    <row r="113" spans="1:48" ht="10.25" customHeight="1" x14ac:dyDescent="0.35">
      <c r="A113" s="401" t="s">
        <v>595</v>
      </c>
      <c r="B113" s="401" t="s">
        <v>17</v>
      </c>
      <c r="C113" s="401" t="s">
        <v>614</v>
      </c>
      <c r="D113" s="401" t="s">
        <v>750</v>
      </c>
      <c r="E113" s="140" t="s">
        <v>727</v>
      </c>
      <c r="F113" s="144" t="s">
        <v>9</v>
      </c>
      <c r="G113" s="425">
        <v>305</v>
      </c>
      <c r="H113" s="404">
        <f>Ühikhinnad!$C$4</f>
        <v>160</v>
      </c>
      <c r="I113" s="405">
        <f t="shared" ref="I113:I115" si="281">G113*H113</f>
        <v>48800</v>
      </c>
      <c r="J113" s="612">
        <f t="shared" ref="J113:J115" si="282">yld*I113</f>
        <v>56119.999999999993</v>
      </c>
      <c r="K113" s="608">
        <f t="shared" ref="K113:K115" si="283">J113-L113-M113</f>
        <v>11224</v>
      </c>
      <c r="L113" s="608">
        <f t="shared" si="268"/>
        <v>33671.999999999993</v>
      </c>
      <c r="M113" s="608">
        <f t="shared" si="268"/>
        <v>11224</v>
      </c>
      <c r="O113" s="407">
        <v>50</v>
      </c>
      <c r="P113" s="408"/>
      <c r="Q113" s="408"/>
      <c r="R113" s="408"/>
      <c r="S113" s="408"/>
      <c r="T113" s="419">
        <f t="shared" si="236"/>
        <v>7014.9999999999991</v>
      </c>
      <c r="U113" s="419">
        <f t="shared" si="236"/>
        <v>7014.9999999999991</v>
      </c>
      <c r="V113" s="419">
        <f t="shared" si="236"/>
        <v>7014.9999999999991</v>
      </c>
      <c r="W113" s="419">
        <f t="shared" si="236"/>
        <v>7014.9999999999991</v>
      </c>
      <c r="X113" s="419">
        <f t="shared" si="236"/>
        <v>7014.9999999999991</v>
      </c>
      <c r="Y113" s="419">
        <f t="shared" si="236"/>
        <v>7014.9999999999991</v>
      </c>
      <c r="Z113" s="419">
        <f t="shared" si="236"/>
        <v>7014.9999999999991</v>
      </c>
      <c r="AA113" s="419">
        <f t="shared" si="236"/>
        <v>7014.9999999999991</v>
      </c>
      <c r="AC113" s="632">
        <f t="shared" ref="AC113:AC115" si="284">IFERROR(P113*$K113/$J113,0)</f>
        <v>0</v>
      </c>
      <c r="AD113" s="632">
        <f t="shared" ref="AD113:AD115" si="285">IFERROR(Q113*$K113/$J113,0)</f>
        <v>0</v>
      </c>
      <c r="AE113" s="632">
        <f t="shared" ref="AE113:AE115" si="286">IFERROR(R113*$K113/$J113,0)</f>
        <v>0</v>
      </c>
      <c r="AF113" s="632">
        <f t="shared" ref="AF113:AF115" si="287">IFERROR(S113*$K113/$J113,0)</f>
        <v>0</v>
      </c>
      <c r="AG113" s="632">
        <f t="shared" ref="AG113:AG115" si="288">IFERROR(T113*$K113/$J113,0)</f>
        <v>1403</v>
      </c>
      <c r="AH113" s="632">
        <f t="shared" ref="AH113:AH115" si="289">IFERROR(U113*$K113/$J113,0)</f>
        <v>1403</v>
      </c>
      <c r="AI113" s="632">
        <f t="shared" ref="AI113:AI115" si="290">IFERROR(V113*$K113/$J113,0)</f>
        <v>1403</v>
      </c>
      <c r="AJ113" s="632">
        <f t="shared" ref="AJ113:AJ115" si="291">IFERROR(W113*$K113/$J113,0)</f>
        <v>1403</v>
      </c>
      <c r="AK113" s="632">
        <f t="shared" ref="AK113:AK115" si="292">IFERROR(X113*$K113/$J113,0)</f>
        <v>1403</v>
      </c>
      <c r="AL113" s="632">
        <f t="shared" ref="AL113:AL115" si="293">IFERROR(Y113*$K113/$J113,0)</f>
        <v>1403</v>
      </c>
      <c r="AM113" s="632">
        <f t="shared" ref="AM113:AM115" si="294">IFERROR(Z113*$K113/$J113,0)</f>
        <v>1403</v>
      </c>
      <c r="AN113" s="632">
        <f t="shared" ref="AN113:AN115" si="295">IFERROR(AA113*$K113/$J113,0)</f>
        <v>1403</v>
      </c>
    </row>
    <row r="114" spans="1:48" ht="10.25" customHeight="1" x14ac:dyDescent="0.35">
      <c r="A114" s="401" t="s">
        <v>595</v>
      </c>
      <c r="B114" s="401" t="s">
        <v>17</v>
      </c>
      <c r="C114" s="401" t="s">
        <v>614</v>
      </c>
      <c r="D114" s="401" t="s">
        <v>750</v>
      </c>
      <c r="E114" s="140" t="s">
        <v>726</v>
      </c>
      <c r="F114" s="432" t="s">
        <v>9</v>
      </c>
      <c r="G114" s="433">
        <v>875</v>
      </c>
      <c r="H114" s="434">
        <f>Ühikhinnad!$C$6</f>
        <v>170</v>
      </c>
      <c r="I114" s="405">
        <f t="shared" si="281"/>
        <v>148750</v>
      </c>
      <c r="J114" s="612">
        <f t="shared" si="282"/>
        <v>171062.5</v>
      </c>
      <c r="K114" s="608">
        <f t="shared" si="283"/>
        <v>34212.5</v>
      </c>
      <c r="L114" s="608">
        <f t="shared" si="268"/>
        <v>102637.5</v>
      </c>
      <c r="M114" s="608">
        <f t="shared" si="268"/>
        <v>34212.5</v>
      </c>
      <c r="O114" s="407">
        <v>50</v>
      </c>
      <c r="P114" s="408"/>
      <c r="Q114" s="408"/>
      <c r="R114" s="408"/>
      <c r="S114" s="408"/>
      <c r="T114" s="419">
        <f t="shared" si="236"/>
        <v>21382.8125</v>
      </c>
      <c r="U114" s="419">
        <f t="shared" si="236"/>
        <v>21382.8125</v>
      </c>
      <c r="V114" s="419">
        <f t="shared" si="236"/>
        <v>21382.8125</v>
      </c>
      <c r="W114" s="419">
        <f t="shared" si="236"/>
        <v>21382.8125</v>
      </c>
      <c r="X114" s="419">
        <f t="shared" si="236"/>
        <v>21382.8125</v>
      </c>
      <c r="Y114" s="419">
        <f t="shared" si="236"/>
        <v>21382.8125</v>
      </c>
      <c r="Z114" s="419">
        <f t="shared" si="236"/>
        <v>21382.8125</v>
      </c>
      <c r="AA114" s="419">
        <f t="shared" si="236"/>
        <v>21382.8125</v>
      </c>
      <c r="AC114" s="632">
        <f t="shared" si="284"/>
        <v>0</v>
      </c>
      <c r="AD114" s="632">
        <f t="shared" si="285"/>
        <v>0</v>
      </c>
      <c r="AE114" s="632">
        <f t="shared" si="286"/>
        <v>0</v>
      </c>
      <c r="AF114" s="632">
        <f t="shared" si="287"/>
        <v>0</v>
      </c>
      <c r="AG114" s="632">
        <f t="shared" si="288"/>
        <v>4276.5625</v>
      </c>
      <c r="AH114" s="632">
        <f t="shared" si="289"/>
        <v>4276.5625</v>
      </c>
      <c r="AI114" s="632">
        <f t="shared" si="290"/>
        <v>4276.5625</v>
      </c>
      <c r="AJ114" s="632">
        <f t="shared" si="291"/>
        <v>4276.5625</v>
      </c>
      <c r="AK114" s="632">
        <f t="shared" si="292"/>
        <v>4276.5625</v>
      </c>
      <c r="AL114" s="632">
        <f t="shared" si="293"/>
        <v>4276.5625</v>
      </c>
      <c r="AM114" s="632">
        <f t="shared" si="294"/>
        <v>4276.5625</v>
      </c>
      <c r="AN114" s="632">
        <f t="shared" si="295"/>
        <v>4276.5625</v>
      </c>
    </row>
    <row r="115" spans="1:48" ht="10.25" customHeight="1" x14ac:dyDescent="0.35">
      <c r="A115" s="401" t="s">
        <v>595</v>
      </c>
      <c r="B115" s="401" t="s">
        <v>17</v>
      </c>
      <c r="C115" s="401" t="s">
        <v>614</v>
      </c>
      <c r="D115" s="401" t="s">
        <v>750</v>
      </c>
      <c r="E115" s="140" t="s">
        <v>971</v>
      </c>
      <c r="F115" s="432" t="s">
        <v>5</v>
      </c>
      <c r="G115" s="433">
        <v>30</v>
      </c>
      <c r="H115" s="404">
        <f>Ühikhinnad!$C$12</f>
        <v>350</v>
      </c>
      <c r="I115" s="405">
        <f t="shared" si="281"/>
        <v>10500</v>
      </c>
      <c r="J115" s="612">
        <f t="shared" si="282"/>
        <v>12074.999999999998</v>
      </c>
      <c r="K115" s="608">
        <f t="shared" si="283"/>
        <v>2414.9999999999995</v>
      </c>
      <c r="L115" s="608">
        <f t="shared" si="268"/>
        <v>7244.9999999999991</v>
      </c>
      <c r="M115" s="608">
        <f t="shared" si="268"/>
        <v>2414.9999999999995</v>
      </c>
      <c r="O115" s="407">
        <v>50</v>
      </c>
      <c r="P115" s="408"/>
      <c r="Q115" s="408"/>
      <c r="R115" s="408"/>
      <c r="S115" s="408"/>
      <c r="T115" s="419">
        <f t="shared" si="236"/>
        <v>1509.3749999999998</v>
      </c>
      <c r="U115" s="419">
        <f t="shared" si="236"/>
        <v>1509.3749999999998</v>
      </c>
      <c r="V115" s="419">
        <f t="shared" si="236"/>
        <v>1509.3749999999998</v>
      </c>
      <c r="W115" s="419">
        <f t="shared" si="236"/>
        <v>1509.3749999999998</v>
      </c>
      <c r="X115" s="419">
        <f t="shared" si="236"/>
        <v>1509.3749999999998</v>
      </c>
      <c r="Y115" s="419">
        <f t="shared" si="236"/>
        <v>1509.3749999999998</v>
      </c>
      <c r="Z115" s="419">
        <f t="shared" si="236"/>
        <v>1509.3749999999998</v>
      </c>
      <c r="AA115" s="419">
        <f t="shared" si="236"/>
        <v>1509.3749999999998</v>
      </c>
      <c r="AC115" s="632">
        <f t="shared" si="284"/>
        <v>0</v>
      </c>
      <c r="AD115" s="632">
        <f t="shared" si="285"/>
        <v>0</v>
      </c>
      <c r="AE115" s="632">
        <f t="shared" si="286"/>
        <v>0</v>
      </c>
      <c r="AF115" s="632">
        <f t="shared" si="287"/>
        <v>0</v>
      </c>
      <c r="AG115" s="632">
        <f t="shared" si="288"/>
        <v>301.87499999999994</v>
      </c>
      <c r="AH115" s="632">
        <f t="shared" si="289"/>
        <v>301.87499999999994</v>
      </c>
      <c r="AI115" s="632">
        <f t="shared" si="290"/>
        <v>301.87499999999994</v>
      </c>
      <c r="AJ115" s="632">
        <f t="shared" si="291"/>
        <v>301.87499999999994</v>
      </c>
      <c r="AK115" s="632">
        <f t="shared" si="292"/>
        <v>301.87499999999994</v>
      </c>
      <c r="AL115" s="632">
        <f t="shared" si="293"/>
        <v>301.87499999999994</v>
      </c>
      <c r="AM115" s="632">
        <f t="shared" si="294"/>
        <v>301.87499999999994</v>
      </c>
      <c r="AN115" s="632">
        <f t="shared" si="295"/>
        <v>301.87499999999994</v>
      </c>
    </row>
    <row r="116" spans="1:48" s="390" customFormat="1" ht="10.25" customHeight="1" x14ac:dyDescent="0.35">
      <c r="A116" s="370"/>
      <c r="B116" s="370"/>
      <c r="C116" s="370"/>
      <c r="D116" s="370"/>
      <c r="E116" s="481" t="s">
        <v>659</v>
      </c>
      <c r="F116" s="482"/>
      <c r="G116" s="482"/>
      <c r="H116" s="483"/>
      <c r="I116" s="484"/>
      <c r="J116" s="611">
        <f>J118+J130</f>
        <v>1374939.9999999998</v>
      </c>
      <c r="K116" s="608"/>
      <c r="L116" s="608"/>
      <c r="M116" s="608"/>
      <c r="N116" s="375"/>
      <c r="O116" s="375"/>
      <c r="P116" s="375"/>
      <c r="Q116" s="375"/>
      <c r="R116" s="375"/>
      <c r="S116" s="375"/>
      <c r="T116" s="375"/>
      <c r="U116" s="375"/>
      <c r="V116" s="375"/>
      <c r="W116" s="375"/>
      <c r="X116" s="375"/>
      <c r="Y116" s="375"/>
      <c r="Z116" s="375"/>
      <c r="AA116" s="375"/>
      <c r="AC116" s="375"/>
      <c r="AD116" s="375"/>
      <c r="AE116" s="375"/>
      <c r="AF116" s="375"/>
      <c r="AG116" s="375"/>
      <c r="AH116" s="375"/>
      <c r="AI116" s="375"/>
      <c r="AJ116" s="375"/>
      <c r="AK116" s="375"/>
      <c r="AL116" s="375"/>
      <c r="AM116" s="375"/>
      <c r="AN116" s="375"/>
      <c r="AO116" s="512" t="s">
        <v>718</v>
      </c>
      <c r="AP116" s="506" t="e">
        <f>J119+#REF!+J131+J132+J133+J134</f>
        <v>#REF!</v>
      </c>
      <c r="AQ116" s="375" t="s">
        <v>712</v>
      </c>
      <c r="AR116" s="512" t="s">
        <v>728</v>
      </c>
      <c r="AS116" s="506" t="e">
        <f>#REF!+#REF!+#REF!</f>
        <v>#REF!</v>
      </c>
      <c r="AT116" s="375" t="s">
        <v>712</v>
      </c>
      <c r="AU116" s="375"/>
      <c r="AV116" s="375"/>
    </row>
    <row r="117" spans="1:48" ht="10.25" customHeight="1" x14ac:dyDescent="0.35">
      <c r="E117" s="377" t="s">
        <v>0</v>
      </c>
      <c r="F117" s="378" t="s">
        <v>1</v>
      </c>
      <c r="G117" s="379" t="s">
        <v>2</v>
      </c>
      <c r="H117" s="380" t="s">
        <v>3</v>
      </c>
      <c r="I117" s="380" t="s">
        <v>4</v>
      </c>
      <c r="J117" s="609" t="s">
        <v>52</v>
      </c>
      <c r="K117" s="608"/>
      <c r="L117" s="608"/>
      <c r="M117" s="608"/>
      <c r="N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  <c r="AA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513" t="s">
        <v>719</v>
      </c>
      <c r="AP117" s="493" t="e">
        <f>(AP116-J133)/50+J133/25</f>
        <v>#REF!</v>
      </c>
      <c r="AQ117" s="441" t="s">
        <v>734</v>
      </c>
      <c r="AR117" s="513" t="s">
        <v>729</v>
      </c>
      <c r="AS117" s="493" t="e">
        <f>AS116/50</f>
        <v>#REF!</v>
      </c>
      <c r="AT117" s="441" t="s">
        <v>734</v>
      </c>
    </row>
    <row r="118" spans="1:48" x14ac:dyDescent="0.35">
      <c r="E118" s="396" t="s">
        <v>582</v>
      </c>
      <c r="F118" s="397"/>
      <c r="G118" s="397"/>
      <c r="H118" s="398"/>
      <c r="I118" s="399">
        <f>SUM(I119:I129)</f>
        <v>804800</v>
      </c>
      <c r="J118" s="399">
        <f>SUM(J119:J129)</f>
        <v>925519.99999999988</v>
      </c>
      <c r="K118" s="608"/>
      <c r="L118" s="608"/>
      <c r="M118" s="608"/>
      <c r="AC118" s="375"/>
      <c r="AD118" s="375"/>
      <c r="AE118" s="375"/>
      <c r="AF118" s="375"/>
      <c r="AG118" s="375"/>
      <c r="AH118" s="375"/>
      <c r="AI118" s="375"/>
      <c r="AJ118" s="375"/>
      <c r="AK118" s="375"/>
      <c r="AL118" s="375"/>
      <c r="AM118" s="375"/>
      <c r="AN118" s="375"/>
      <c r="AO118" s="512" t="s">
        <v>720</v>
      </c>
      <c r="AP118" s="486">
        <f>17*2.36*Q!$AJ$9/1000*365</f>
        <v>1461.3112056869802</v>
      </c>
      <c r="AQ118" s="375" t="s">
        <v>148</v>
      </c>
      <c r="AR118" s="512"/>
      <c r="AS118" s="486"/>
      <c r="AU118" s="491">
        <v>0.28999999999999998</v>
      </c>
      <c r="AV118" s="491" t="s">
        <v>46</v>
      </c>
    </row>
    <row r="119" spans="1:48" ht="10.25" customHeight="1" x14ac:dyDescent="0.35">
      <c r="A119" s="517" t="s">
        <v>737</v>
      </c>
      <c r="B119" s="517" t="s">
        <v>15</v>
      </c>
      <c r="C119" s="517"/>
      <c r="D119" s="517" t="s">
        <v>750</v>
      </c>
      <c r="E119" s="161" t="s">
        <v>1029</v>
      </c>
      <c r="F119" s="402" t="s">
        <v>585</v>
      </c>
      <c r="G119" s="403">
        <v>1</v>
      </c>
      <c r="H119" s="417">
        <f>Ühikhinnad!$H$55</f>
        <v>353000</v>
      </c>
      <c r="I119" s="405">
        <f t="shared" ref="I119:I129" si="296">G119*H119</f>
        <v>353000</v>
      </c>
      <c r="J119" s="612">
        <f t="shared" ref="J119:J129" si="297">yld*I119</f>
        <v>405949.99999999994</v>
      </c>
      <c r="K119" s="608"/>
      <c r="L119" s="608"/>
      <c r="M119" s="608"/>
      <c r="N119" s="406"/>
      <c r="Y119" s="406"/>
      <c r="Z119" s="406"/>
      <c r="AA119" s="406"/>
      <c r="AL119" s="633"/>
      <c r="AM119" s="633"/>
      <c r="AN119" s="633"/>
      <c r="AO119" s="512" t="s">
        <v>721</v>
      </c>
      <c r="AP119" s="486">
        <f>G134*2.36*Q!$AJ$39/1000*365</f>
        <v>255.92706939199914</v>
      </c>
      <c r="AQ119" s="375" t="s">
        <v>148</v>
      </c>
      <c r="AR119" s="512" t="s">
        <v>730</v>
      </c>
      <c r="AS119" s="486">
        <f>30*2.36*Q!$AJ$39/1000*365</f>
        <v>2559.2706939199916</v>
      </c>
      <c r="AT119" s="375" t="s">
        <v>148</v>
      </c>
      <c r="AU119" s="491">
        <v>0.62</v>
      </c>
      <c r="AV119" s="491" t="s">
        <v>46</v>
      </c>
    </row>
    <row r="120" spans="1:48" ht="10.25" customHeight="1" x14ac:dyDescent="0.35">
      <c r="A120" s="517" t="s">
        <v>737</v>
      </c>
      <c r="B120" s="517" t="s">
        <v>15</v>
      </c>
      <c r="C120" s="517"/>
      <c r="D120" s="517" t="s">
        <v>750</v>
      </c>
      <c r="E120" s="161" t="s">
        <v>1028</v>
      </c>
      <c r="F120" s="402" t="s">
        <v>9</v>
      </c>
      <c r="G120" s="433">
        <v>375</v>
      </c>
      <c r="H120" s="404">
        <f>Ühikhinnad!$C$3</f>
        <v>80</v>
      </c>
      <c r="I120" s="405">
        <f t="shared" ref="I120" si="298">G120*H120</f>
        <v>30000</v>
      </c>
      <c r="J120" s="612">
        <f t="shared" ref="J120" si="299">yld*I120</f>
        <v>34500</v>
      </c>
      <c r="K120" s="608"/>
      <c r="L120" s="608"/>
      <c r="M120" s="608"/>
      <c r="N120" s="406"/>
      <c r="Y120" s="406"/>
      <c r="Z120" s="406"/>
      <c r="AA120" s="406"/>
      <c r="AL120" s="633"/>
      <c r="AM120" s="633"/>
      <c r="AN120" s="633"/>
      <c r="AO120" s="512" t="s">
        <v>721</v>
      </c>
      <c r="AP120" s="486">
        <f>G136*2.36*Q!$AJ$39/1000*365</f>
        <v>426.54511565333183</v>
      </c>
      <c r="AQ120" s="375" t="s">
        <v>148</v>
      </c>
      <c r="AR120" s="512" t="s">
        <v>730</v>
      </c>
      <c r="AS120" s="486">
        <f>30*2.36*Q!$AJ$39/1000*365</f>
        <v>2559.2706939199916</v>
      </c>
      <c r="AT120" s="375" t="s">
        <v>148</v>
      </c>
      <c r="AU120" s="491">
        <v>0.62</v>
      </c>
      <c r="AV120" s="491" t="s">
        <v>46</v>
      </c>
    </row>
    <row r="121" spans="1:48" ht="10.25" customHeight="1" x14ac:dyDescent="0.2">
      <c r="A121" s="517" t="s">
        <v>737</v>
      </c>
      <c r="B121" s="517" t="s">
        <v>15</v>
      </c>
      <c r="C121" s="517"/>
      <c r="D121" s="517" t="s">
        <v>750</v>
      </c>
      <c r="E121" s="161" t="s">
        <v>1033</v>
      </c>
      <c r="F121" s="402" t="s">
        <v>5</v>
      </c>
      <c r="G121" s="403">
        <v>4</v>
      </c>
      <c r="H121" s="404">
        <f>Ühikhinnad!$C$11</f>
        <v>350</v>
      </c>
      <c r="I121" s="405">
        <f t="shared" si="296"/>
        <v>1400</v>
      </c>
      <c r="J121" s="612">
        <f t="shared" si="297"/>
        <v>1609.9999999999998</v>
      </c>
      <c r="K121" s="608"/>
      <c r="L121" s="608"/>
      <c r="M121" s="608"/>
      <c r="N121" s="406"/>
      <c r="Y121" s="406"/>
      <c r="Z121" s="406"/>
      <c r="AA121" s="406"/>
      <c r="AL121" s="633"/>
      <c r="AM121" s="633"/>
      <c r="AN121" s="633"/>
      <c r="AO121" s="512" t="s">
        <v>723</v>
      </c>
      <c r="AP121" s="485">
        <v>1.61</v>
      </c>
      <c r="AQ121" s="375" t="s">
        <v>46</v>
      </c>
      <c r="AR121" s="512"/>
      <c r="AS121" s="485"/>
      <c r="AU121" s="491"/>
      <c r="AV121" s="491"/>
    </row>
    <row r="122" spans="1:48" ht="10.25" customHeight="1" x14ac:dyDescent="0.35">
      <c r="A122" s="517" t="s">
        <v>737</v>
      </c>
      <c r="B122" s="517" t="s">
        <v>15</v>
      </c>
      <c r="C122" s="517"/>
      <c r="D122" s="517" t="s">
        <v>750</v>
      </c>
      <c r="E122" s="161" t="s">
        <v>1037</v>
      </c>
      <c r="F122" s="402" t="s">
        <v>585</v>
      </c>
      <c r="G122" s="403">
        <v>1</v>
      </c>
      <c r="H122" s="417">
        <f>Ühikhinnad!$H$55</f>
        <v>353000</v>
      </c>
      <c r="I122" s="405">
        <f t="shared" ref="I122:I123" si="300">G122*H122</f>
        <v>353000</v>
      </c>
      <c r="J122" s="612">
        <f t="shared" ref="J122:J123" si="301">yld*I122</f>
        <v>405949.99999999994</v>
      </c>
      <c r="K122" s="608"/>
      <c r="L122" s="608"/>
      <c r="M122" s="608"/>
      <c r="N122" s="406"/>
      <c r="Y122" s="406"/>
      <c r="Z122" s="406"/>
      <c r="AA122" s="406"/>
      <c r="AL122" s="633"/>
      <c r="AM122" s="633"/>
      <c r="AN122" s="633"/>
      <c r="AO122" s="512" t="s">
        <v>721</v>
      </c>
      <c r="AP122" s="486" t="e">
        <f>#REF!*2.36*Q!$AJ$39/1000*365</f>
        <v>#REF!</v>
      </c>
      <c r="AQ122" s="375" t="s">
        <v>148</v>
      </c>
      <c r="AR122" s="512" t="s">
        <v>730</v>
      </c>
      <c r="AS122" s="486">
        <f>30*2.36*Q!$AJ$39/1000*365</f>
        <v>2559.2706939199916</v>
      </c>
      <c r="AT122" s="375" t="s">
        <v>148</v>
      </c>
      <c r="AU122" s="491">
        <v>0.62</v>
      </c>
      <c r="AV122" s="491" t="s">
        <v>46</v>
      </c>
    </row>
    <row r="123" spans="1:48" ht="10.25" customHeight="1" x14ac:dyDescent="0.35">
      <c r="A123" s="517" t="s">
        <v>737</v>
      </c>
      <c r="B123" s="517" t="s">
        <v>15</v>
      </c>
      <c r="C123" s="517"/>
      <c r="D123" s="517" t="s">
        <v>750</v>
      </c>
      <c r="E123" s="161" t="s">
        <v>1038</v>
      </c>
      <c r="F123" s="402" t="s">
        <v>9</v>
      </c>
      <c r="G123" s="433">
        <v>65</v>
      </c>
      <c r="H123" s="404">
        <f>Ühikhinnad!$C$3</f>
        <v>80</v>
      </c>
      <c r="I123" s="405">
        <f t="shared" si="300"/>
        <v>5200</v>
      </c>
      <c r="J123" s="612">
        <f t="shared" si="301"/>
        <v>5979.9999999999991</v>
      </c>
      <c r="K123" s="608"/>
      <c r="L123" s="608"/>
      <c r="M123" s="608"/>
      <c r="N123" s="406"/>
      <c r="Y123" s="406"/>
      <c r="Z123" s="406"/>
      <c r="AA123" s="406"/>
      <c r="AL123" s="633"/>
      <c r="AM123" s="633"/>
      <c r="AN123" s="633"/>
      <c r="AO123" s="512" t="s">
        <v>721</v>
      </c>
      <c r="AP123" s="486" t="e">
        <f>#REF!*2.36*Q!$AJ$39/1000*365</f>
        <v>#REF!</v>
      </c>
      <c r="AQ123" s="375" t="s">
        <v>148</v>
      </c>
      <c r="AR123" s="512" t="s">
        <v>730</v>
      </c>
      <c r="AS123" s="486">
        <f>30*2.36*Q!$AJ$39/1000*365</f>
        <v>2559.2706939199916</v>
      </c>
      <c r="AT123" s="375" t="s">
        <v>148</v>
      </c>
      <c r="AU123" s="491">
        <v>0.62</v>
      </c>
      <c r="AV123" s="491" t="s">
        <v>46</v>
      </c>
    </row>
    <row r="124" spans="1:48" x14ac:dyDescent="0.2">
      <c r="A124" s="517" t="s">
        <v>737</v>
      </c>
      <c r="B124" s="517" t="s">
        <v>15</v>
      </c>
      <c r="C124" s="517"/>
      <c r="D124" s="517" t="s">
        <v>750</v>
      </c>
      <c r="E124" s="161" t="s">
        <v>972</v>
      </c>
      <c r="F124" s="402" t="s">
        <v>9</v>
      </c>
      <c r="G124" s="403">
        <v>140</v>
      </c>
      <c r="H124" s="404">
        <f>Ühikhinnad!$C$3</f>
        <v>80</v>
      </c>
      <c r="I124" s="405">
        <f t="shared" si="296"/>
        <v>11200</v>
      </c>
      <c r="J124" s="612">
        <f t="shared" si="297"/>
        <v>12879.999999999998</v>
      </c>
      <c r="K124" s="608"/>
      <c r="L124" s="608"/>
      <c r="M124" s="608"/>
      <c r="N124" s="406"/>
      <c r="Y124" s="406"/>
      <c r="Z124" s="406"/>
      <c r="AA124" s="406"/>
      <c r="AL124" s="633"/>
      <c r="AM124" s="633"/>
      <c r="AN124" s="633"/>
      <c r="AO124" s="512" t="s">
        <v>724</v>
      </c>
      <c r="AP124" s="485">
        <v>2.23</v>
      </c>
      <c r="AQ124" s="375" t="s">
        <v>46</v>
      </c>
      <c r="AR124" s="512" t="s">
        <v>724</v>
      </c>
      <c r="AS124" s="485">
        <v>2.23</v>
      </c>
      <c r="AT124" s="375" t="s">
        <v>46</v>
      </c>
      <c r="AU124" s="491"/>
      <c r="AV124" s="491"/>
    </row>
    <row r="125" spans="1:48" ht="10.25" customHeight="1" x14ac:dyDescent="0.35">
      <c r="A125" s="517" t="s">
        <v>737</v>
      </c>
      <c r="B125" s="517" t="s">
        <v>15</v>
      </c>
      <c r="C125" s="517"/>
      <c r="D125" s="517" t="s">
        <v>750</v>
      </c>
      <c r="E125" s="161" t="s">
        <v>975</v>
      </c>
      <c r="F125" s="402" t="s">
        <v>5</v>
      </c>
      <c r="G125" s="403">
        <v>8</v>
      </c>
      <c r="H125" s="404">
        <f>Ühikhinnad!$C$11</f>
        <v>350</v>
      </c>
      <c r="I125" s="405">
        <f t="shared" si="296"/>
        <v>2800</v>
      </c>
      <c r="J125" s="612">
        <f t="shared" si="297"/>
        <v>3219.9999999999995</v>
      </c>
      <c r="K125" s="608"/>
      <c r="L125" s="608"/>
      <c r="M125" s="608"/>
      <c r="N125" s="406"/>
      <c r="Y125" s="406"/>
      <c r="Z125" s="406"/>
      <c r="AA125" s="406"/>
      <c r="AL125" s="633"/>
      <c r="AM125" s="633"/>
      <c r="AN125" s="633"/>
      <c r="AO125" s="514" t="s">
        <v>722</v>
      </c>
      <c r="AP125" s="507">
        <f>AP118*AP121+AP119*AP124</f>
        <v>2923.4284059001966</v>
      </c>
      <c r="AQ125" s="488" t="s">
        <v>734</v>
      </c>
      <c r="AR125" s="514" t="s">
        <v>731</v>
      </c>
      <c r="AS125" s="507">
        <f>AS118*AS121+AS119*AS124</f>
        <v>5707.1736474415811</v>
      </c>
      <c r="AT125" s="488" t="s">
        <v>734</v>
      </c>
      <c r="AU125" s="491"/>
      <c r="AV125" s="491"/>
    </row>
    <row r="126" spans="1:48" ht="10.25" customHeight="1" x14ac:dyDescent="0.35">
      <c r="A126" s="517" t="s">
        <v>737</v>
      </c>
      <c r="B126" s="517" t="s">
        <v>15</v>
      </c>
      <c r="C126" s="517"/>
      <c r="D126" s="517" t="s">
        <v>750</v>
      </c>
      <c r="E126" s="161" t="s">
        <v>973</v>
      </c>
      <c r="F126" s="402" t="s">
        <v>9</v>
      </c>
      <c r="G126" s="403">
        <v>335</v>
      </c>
      <c r="H126" s="404">
        <f>Ühikhinnad!$C$3</f>
        <v>80</v>
      </c>
      <c r="I126" s="405">
        <f t="shared" si="296"/>
        <v>26800</v>
      </c>
      <c r="J126" s="612">
        <f t="shared" si="297"/>
        <v>30819.999999999996</v>
      </c>
      <c r="K126" s="608"/>
      <c r="L126" s="608"/>
      <c r="M126" s="608"/>
      <c r="N126" s="406"/>
      <c r="Y126" s="406"/>
      <c r="Z126" s="406"/>
      <c r="AA126" s="406"/>
      <c r="AL126" s="633"/>
      <c r="AM126" s="633"/>
      <c r="AN126" s="633"/>
      <c r="AO126" s="513" t="s">
        <v>733</v>
      </c>
      <c r="AP126" s="493" t="e">
        <f>AP125-AP117-#REF!</f>
        <v>#REF!</v>
      </c>
      <c r="AQ126" s="441" t="s">
        <v>734</v>
      </c>
      <c r="AR126" s="513" t="s">
        <v>733</v>
      </c>
      <c r="AS126" s="493" t="e">
        <f>AS125-AS117-#REF!</f>
        <v>#REF!</v>
      </c>
      <c r="AT126" s="441" t="s">
        <v>734</v>
      </c>
      <c r="AU126" s="491"/>
      <c r="AV126" s="491"/>
    </row>
    <row r="127" spans="1:48" ht="10.25" customHeight="1" x14ac:dyDescent="0.35">
      <c r="A127" s="517" t="s">
        <v>737</v>
      </c>
      <c r="B127" s="517" t="s">
        <v>15</v>
      </c>
      <c r="C127" s="517"/>
      <c r="D127" s="517" t="s">
        <v>750</v>
      </c>
      <c r="E127" s="161" t="s">
        <v>976</v>
      </c>
      <c r="F127" s="402" t="s">
        <v>5</v>
      </c>
      <c r="G127" s="403">
        <v>16</v>
      </c>
      <c r="H127" s="404">
        <f>Ühikhinnad!$C$11</f>
        <v>350</v>
      </c>
      <c r="I127" s="405">
        <f t="shared" si="296"/>
        <v>5600</v>
      </c>
      <c r="J127" s="612">
        <f t="shared" si="297"/>
        <v>6439.9999999999991</v>
      </c>
      <c r="K127" s="608"/>
      <c r="L127" s="608"/>
      <c r="M127" s="608"/>
      <c r="N127" s="406"/>
      <c r="Y127" s="406"/>
      <c r="Z127" s="406"/>
      <c r="AA127" s="406"/>
      <c r="AL127" s="633"/>
      <c r="AM127" s="633"/>
      <c r="AN127" s="633"/>
      <c r="AO127" s="441"/>
      <c r="AP127" s="492" t="e">
        <f>AP126/AP118</f>
        <v>#REF!</v>
      </c>
      <c r="AQ127" s="441" t="s">
        <v>46</v>
      </c>
      <c r="AR127" s="505"/>
      <c r="AS127" s="492" t="e">
        <f>AS126/AS119</f>
        <v>#REF!</v>
      </c>
      <c r="AT127" s="441" t="s">
        <v>46</v>
      </c>
      <c r="AU127" s="491"/>
      <c r="AV127" s="491"/>
    </row>
    <row r="128" spans="1:48" ht="10.25" customHeight="1" x14ac:dyDescent="0.35">
      <c r="A128" s="517" t="s">
        <v>737</v>
      </c>
      <c r="B128" s="517" t="s">
        <v>15</v>
      </c>
      <c r="C128" s="517"/>
      <c r="D128" s="517" t="s">
        <v>750</v>
      </c>
      <c r="E128" s="161" t="s">
        <v>974</v>
      </c>
      <c r="F128" s="402" t="s">
        <v>9</v>
      </c>
      <c r="G128" s="403">
        <v>180</v>
      </c>
      <c r="H128" s="404">
        <f>Ühikhinnad!$C$3</f>
        <v>80</v>
      </c>
      <c r="I128" s="405">
        <f t="shared" si="296"/>
        <v>14400</v>
      </c>
      <c r="J128" s="612">
        <f t="shared" si="297"/>
        <v>16560</v>
      </c>
      <c r="K128" s="608"/>
      <c r="L128" s="608"/>
      <c r="M128" s="608"/>
      <c r="N128" s="406"/>
      <c r="Y128" s="406"/>
      <c r="Z128" s="406"/>
      <c r="AA128" s="406"/>
      <c r="AL128" s="633"/>
      <c r="AM128" s="633"/>
      <c r="AN128" s="633"/>
      <c r="AO128" s="512"/>
      <c r="AU128" s="491"/>
      <c r="AV128" s="491"/>
    </row>
    <row r="129" spans="1:48" ht="10.25" customHeight="1" x14ac:dyDescent="0.35">
      <c r="A129" s="517" t="s">
        <v>737</v>
      </c>
      <c r="B129" s="517" t="s">
        <v>15</v>
      </c>
      <c r="C129" s="517"/>
      <c r="D129" s="517" t="s">
        <v>750</v>
      </c>
      <c r="E129" s="161" t="s">
        <v>977</v>
      </c>
      <c r="F129" s="402" t="s">
        <v>5</v>
      </c>
      <c r="G129" s="403">
        <v>4</v>
      </c>
      <c r="H129" s="404">
        <f>Ühikhinnad!$C$11</f>
        <v>350</v>
      </c>
      <c r="I129" s="405">
        <f t="shared" si="296"/>
        <v>1400</v>
      </c>
      <c r="J129" s="612">
        <f t="shared" si="297"/>
        <v>1609.9999999999998</v>
      </c>
      <c r="K129" s="608"/>
      <c r="L129" s="608"/>
      <c r="M129" s="608"/>
      <c r="N129" s="406"/>
      <c r="Y129" s="406"/>
      <c r="Z129" s="406"/>
      <c r="AA129" s="406"/>
      <c r="AL129" s="633"/>
      <c r="AM129" s="633"/>
      <c r="AN129" s="633"/>
      <c r="AO129" s="512"/>
      <c r="AU129" s="491"/>
      <c r="AV129" s="491"/>
    </row>
    <row r="130" spans="1:48" s="390" customFormat="1" x14ac:dyDescent="0.35">
      <c r="A130" s="517"/>
      <c r="B130" s="517"/>
      <c r="C130" s="517"/>
      <c r="D130" s="517"/>
      <c r="E130" s="410" t="s">
        <v>588</v>
      </c>
      <c r="F130" s="411"/>
      <c r="G130" s="411"/>
      <c r="H130" s="412"/>
      <c r="I130" s="413">
        <f>SUM(I131:I147)</f>
        <v>390800</v>
      </c>
      <c r="J130" s="413">
        <f>SUM(J131:J147)</f>
        <v>449419.99999999994</v>
      </c>
      <c r="K130" s="608"/>
      <c r="L130" s="608"/>
      <c r="M130" s="608"/>
      <c r="N130" s="414"/>
      <c r="Y130" s="414"/>
      <c r="Z130" s="414"/>
      <c r="AA130" s="414"/>
      <c r="AL130" s="414"/>
      <c r="AM130" s="414"/>
      <c r="AN130" s="414"/>
      <c r="AU130" s="375"/>
      <c r="AV130" s="375"/>
    </row>
    <row r="131" spans="1:48" x14ac:dyDescent="0.35">
      <c r="A131" s="517" t="s">
        <v>737</v>
      </c>
      <c r="B131" s="517" t="s">
        <v>17</v>
      </c>
      <c r="C131" s="517"/>
      <c r="D131" s="517" t="s">
        <v>750</v>
      </c>
      <c r="E131" s="161" t="s">
        <v>1034</v>
      </c>
      <c r="F131" s="144" t="s">
        <v>9</v>
      </c>
      <c r="G131" s="403">
        <v>305</v>
      </c>
      <c r="H131" s="404">
        <f>Ühikhinnad!$C$4</f>
        <v>160</v>
      </c>
      <c r="I131" s="405">
        <f t="shared" ref="I131:I134" si="302">G131*H131</f>
        <v>48800</v>
      </c>
      <c r="J131" s="612">
        <f t="shared" ref="J131:J134" si="303">yld*I131</f>
        <v>56119.999999999993</v>
      </c>
      <c r="K131" s="608"/>
      <c r="L131" s="608"/>
      <c r="M131" s="608"/>
      <c r="N131" s="418"/>
      <c r="Y131" s="418"/>
      <c r="Z131" s="418"/>
      <c r="AA131" s="418"/>
    </row>
    <row r="132" spans="1:48" x14ac:dyDescent="0.35">
      <c r="A132" s="517" t="s">
        <v>737</v>
      </c>
      <c r="B132" s="517" t="s">
        <v>17</v>
      </c>
      <c r="C132" s="517"/>
      <c r="D132" s="517" t="s">
        <v>750</v>
      </c>
      <c r="E132" s="161" t="s">
        <v>1035</v>
      </c>
      <c r="F132" s="144" t="s">
        <v>9</v>
      </c>
      <c r="G132" s="403">
        <v>390</v>
      </c>
      <c r="H132" s="404">
        <f>Ühikhinnad!$C$5</f>
        <v>130</v>
      </c>
      <c r="I132" s="405">
        <f t="shared" si="302"/>
        <v>50700</v>
      </c>
      <c r="J132" s="612">
        <f t="shared" si="303"/>
        <v>58304.999999999993</v>
      </c>
      <c r="K132" s="608"/>
      <c r="L132" s="608"/>
      <c r="M132" s="608"/>
      <c r="N132" s="418"/>
      <c r="Y132" s="418"/>
      <c r="Z132" s="418"/>
      <c r="AA132" s="418"/>
      <c r="AU132" s="414"/>
      <c r="AV132" s="414"/>
    </row>
    <row r="133" spans="1:48" x14ac:dyDescent="0.35">
      <c r="A133" s="517" t="s">
        <v>737</v>
      </c>
      <c r="B133" s="517" t="s">
        <v>17</v>
      </c>
      <c r="C133" s="517"/>
      <c r="D133" s="517" t="s">
        <v>750</v>
      </c>
      <c r="E133" s="161" t="s">
        <v>1036</v>
      </c>
      <c r="F133" s="144" t="s">
        <v>5</v>
      </c>
      <c r="G133" s="425">
        <v>1</v>
      </c>
      <c r="H133" s="404">
        <f>Ühikhinnad!$C$7</f>
        <v>25000</v>
      </c>
      <c r="I133" s="405">
        <f t="shared" si="302"/>
        <v>25000</v>
      </c>
      <c r="J133" s="612">
        <f t="shared" si="303"/>
        <v>28749.999999999996</v>
      </c>
      <c r="K133" s="608"/>
      <c r="L133" s="608"/>
      <c r="M133" s="608"/>
      <c r="N133" s="418"/>
      <c r="Y133" s="418"/>
      <c r="Z133" s="418"/>
      <c r="AA133" s="418"/>
    </row>
    <row r="134" spans="1:48" x14ac:dyDescent="0.35">
      <c r="A134" s="517" t="s">
        <v>737</v>
      </c>
      <c r="B134" s="517" t="s">
        <v>17</v>
      </c>
      <c r="C134" s="517"/>
      <c r="D134" s="517" t="s">
        <v>750</v>
      </c>
      <c r="E134" s="161" t="s">
        <v>1033</v>
      </c>
      <c r="F134" s="144" t="s">
        <v>5</v>
      </c>
      <c r="G134" s="425">
        <v>3</v>
      </c>
      <c r="H134" s="404">
        <f>Ühikhinnad!$C$12</f>
        <v>350</v>
      </c>
      <c r="I134" s="405">
        <f t="shared" si="302"/>
        <v>1050</v>
      </c>
      <c r="J134" s="612">
        <f t="shared" si="303"/>
        <v>1207.5</v>
      </c>
      <c r="K134" s="608"/>
      <c r="L134" s="608"/>
      <c r="M134" s="608"/>
      <c r="N134" s="418"/>
      <c r="Y134" s="418"/>
      <c r="Z134" s="418"/>
      <c r="AA134" s="418"/>
      <c r="AO134" s="441"/>
      <c r="AP134" s="441"/>
      <c r="AQ134" s="441"/>
      <c r="AR134" s="441"/>
      <c r="AS134" s="441"/>
      <c r="AT134" s="441"/>
    </row>
    <row r="135" spans="1:48" x14ac:dyDescent="0.35">
      <c r="A135" s="517" t="s">
        <v>737</v>
      </c>
      <c r="B135" s="517" t="s">
        <v>17</v>
      </c>
      <c r="C135" s="517"/>
      <c r="D135" s="517" t="s">
        <v>750</v>
      </c>
      <c r="E135" s="161" t="s">
        <v>1030</v>
      </c>
      <c r="F135" s="144" t="s">
        <v>9</v>
      </c>
      <c r="G135" s="403">
        <v>245</v>
      </c>
      <c r="H135" s="404">
        <f>Ühikhinnad!$C$4</f>
        <v>160</v>
      </c>
      <c r="I135" s="405">
        <f t="shared" ref="I135:I138" si="304">G135*H135</f>
        <v>39200</v>
      </c>
      <c r="J135" s="612">
        <f t="shared" ref="J135:J138" si="305">yld*I135</f>
        <v>45080</v>
      </c>
      <c r="K135" s="608"/>
      <c r="L135" s="608"/>
      <c r="M135" s="608"/>
      <c r="N135" s="418"/>
      <c r="Y135" s="418"/>
      <c r="Z135" s="418"/>
      <c r="AA135" s="418"/>
    </row>
    <row r="136" spans="1:48" x14ac:dyDescent="0.35">
      <c r="A136" s="517" t="s">
        <v>737</v>
      </c>
      <c r="B136" s="517" t="s">
        <v>17</v>
      </c>
      <c r="C136" s="517"/>
      <c r="D136" s="517" t="s">
        <v>750</v>
      </c>
      <c r="E136" s="161" t="s">
        <v>1031</v>
      </c>
      <c r="F136" s="144" t="s">
        <v>9</v>
      </c>
      <c r="G136" s="403">
        <v>5</v>
      </c>
      <c r="H136" s="404">
        <f>Ühikhinnad!$C$5</f>
        <v>130</v>
      </c>
      <c r="I136" s="405">
        <f t="shared" si="304"/>
        <v>650</v>
      </c>
      <c r="J136" s="612">
        <f t="shared" si="305"/>
        <v>747.49999999999989</v>
      </c>
      <c r="K136" s="608"/>
      <c r="L136" s="608"/>
      <c r="M136" s="608"/>
      <c r="N136" s="418"/>
      <c r="Y136" s="418"/>
      <c r="Z136" s="418"/>
      <c r="AA136" s="418"/>
      <c r="AO136" s="488"/>
      <c r="AP136" s="488"/>
      <c r="AQ136" s="488"/>
      <c r="AR136" s="488"/>
      <c r="AS136" s="488"/>
      <c r="AT136" s="488"/>
      <c r="AU136" s="414"/>
      <c r="AV136" s="414"/>
    </row>
    <row r="137" spans="1:48" x14ac:dyDescent="0.35">
      <c r="A137" s="517" t="s">
        <v>737</v>
      </c>
      <c r="B137" s="517" t="s">
        <v>17</v>
      </c>
      <c r="C137" s="517"/>
      <c r="D137" s="517" t="s">
        <v>750</v>
      </c>
      <c r="E137" s="161" t="s">
        <v>1032</v>
      </c>
      <c r="F137" s="144" t="s">
        <v>5</v>
      </c>
      <c r="G137" s="425">
        <v>1</v>
      </c>
      <c r="H137" s="404">
        <f>Ühikhinnad!$C$7</f>
        <v>25000</v>
      </c>
      <c r="I137" s="405">
        <f t="shared" si="304"/>
        <v>25000</v>
      </c>
      <c r="J137" s="612">
        <f t="shared" si="305"/>
        <v>28749.999999999996</v>
      </c>
      <c r="K137" s="608"/>
      <c r="L137" s="608"/>
      <c r="M137" s="608"/>
      <c r="N137" s="418"/>
      <c r="Y137" s="418"/>
      <c r="Z137" s="418"/>
      <c r="AA137" s="418"/>
      <c r="AO137" s="441"/>
      <c r="AP137" s="441"/>
      <c r="AQ137" s="441"/>
      <c r="AR137" s="441"/>
      <c r="AS137" s="441"/>
      <c r="AT137" s="441"/>
    </row>
    <row r="138" spans="1:48" s="416" customFormat="1" x14ac:dyDescent="0.35">
      <c r="A138" s="517" t="s">
        <v>737</v>
      </c>
      <c r="B138" s="517" t="s">
        <v>17</v>
      </c>
      <c r="C138" s="517"/>
      <c r="D138" s="517" t="s">
        <v>750</v>
      </c>
      <c r="E138" s="140" t="s">
        <v>1039</v>
      </c>
      <c r="F138" s="144" t="s">
        <v>9</v>
      </c>
      <c r="G138" s="425">
        <v>65</v>
      </c>
      <c r="H138" s="404">
        <f>Ühikhinnad!$C$4</f>
        <v>160</v>
      </c>
      <c r="I138" s="405">
        <f t="shared" si="304"/>
        <v>10400</v>
      </c>
      <c r="J138" s="612">
        <f t="shared" si="305"/>
        <v>11959.999999999998</v>
      </c>
      <c r="K138" s="608"/>
      <c r="L138" s="608"/>
      <c r="M138" s="608"/>
      <c r="N138" s="418"/>
      <c r="Y138" s="418"/>
      <c r="Z138" s="418"/>
      <c r="AA138" s="418"/>
      <c r="AB138" s="375"/>
      <c r="AC138" s="634"/>
      <c r="AD138" s="634"/>
      <c r="AE138" s="634"/>
      <c r="AF138" s="634"/>
      <c r="AG138" s="634"/>
      <c r="AH138" s="634"/>
      <c r="AI138" s="634"/>
      <c r="AJ138" s="634"/>
      <c r="AK138" s="634"/>
      <c r="AL138" s="418"/>
      <c r="AM138" s="418"/>
      <c r="AN138" s="418"/>
    </row>
    <row r="139" spans="1:48" x14ac:dyDescent="0.35">
      <c r="A139" s="517" t="s">
        <v>737</v>
      </c>
      <c r="B139" s="517" t="s">
        <v>17</v>
      </c>
      <c r="C139" s="517"/>
      <c r="D139" s="517" t="s">
        <v>750</v>
      </c>
      <c r="E139" s="140" t="s">
        <v>978</v>
      </c>
      <c r="F139" s="432" t="s">
        <v>9</v>
      </c>
      <c r="G139" s="433">
        <v>140</v>
      </c>
      <c r="H139" s="434">
        <f>Ühikhinnad!$C$6</f>
        <v>170</v>
      </c>
      <c r="I139" s="405">
        <f t="shared" ref="I139:I141" si="306">G139*H139</f>
        <v>23800</v>
      </c>
      <c r="J139" s="612">
        <f t="shared" ref="J139:J141" si="307">yld*I139</f>
        <v>27369.999999999996</v>
      </c>
      <c r="K139" s="608"/>
      <c r="L139" s="608"/>
      <c r="M139" s="608"/>
    </row>
    <row r="140" spans="1:48" x14ac:dyDescent="0.35">
      <c r="A140" s="517" t="s">
        <v>737</v>
      </c>
      <c r="B140" s="517" t="s">
        <v>17</v>
      </c>
      <c r="C140" s="517"/>
      <c r="D140" s="517" t="s">
        <v>750</v>
      </c>
      <c r="E140" s="140" t="s">
        <v>975</v>
      </c>
      <c r="F140" s="432" t="s">
        <v>5</v>
      </c>
      <c r="G140" s="433">
        <v>8</v>
      </c>
      <c r="H140" s="404">
        <f>Ühikhinnad!$C$12</f>
        <v>350</v>
      </c>
      <c r="I140" s="405">
        <f t="shared" si="306"/>
        <v>2800</v>
      </c>
      <c r="J140" s="612">
        <f t="shared" si="307"/>
        <v>3219.9999999999995</v>
      </c>
      <c r="K140" s="608"/>
      <c r="L140" s="608"/>
      <c r="M140" s="608"/>
      <c r="O140" s="441"/>
      <c r="P140" s="492"/>
      <c r="Q140" s="441"/>
      <c r="T140" s="505"/>
      <c r="U140" s="492"/>
      <c r="V140" s="441"/>
      <c r="AC140" s="635"/>
      <c r="AG140" s="636"/>
      <c r="AH140" s="635"/>
    </row>
    <row r="141" spans="1:48" s="416" customFormat="1" x14ac:dyDescent="0.35">
      <c r="A141" s="517" t="s">
        <v>737</v>
      </c>
      <c r="B141" s="517" t="s">
        <v>17</v>
      </c>
      <c r="C141" s="517"/>
      <c r="D141" s="517" t="s">
        <v>750</v>
      </c>
      <c r="E141" s="140" t="s">
        <v>979</v>
      </c>
      <c r="F141" s="144" t="s">
        <v>9</v>
      </c>
      <c r="G141" s="425">
        <v>570</v>
      </c>
      <c r="H141" s="404">
        <f>Ühikhinnad!$C$4</f>
        <v>160</v>
      </c>
      <c r="I141" s="405">
        <f t="shared" si="306"/>
        <v>91200</v>
      </c>
      <c r="J141" s="612">
        <f t="shared" si="307"/>
        <v>104879.99999999999</v>
      </c>
      <c r="K141" s="608"/>
      <c r="L141" s="608"/>
      <c r="M141" s="608"/>
      <c r="N141" s="418"/>
      <c r="Y141" s="418"/>
      <c r="Z141" s="418"/>
      <c r="AA141" s="418"/>
      <c r="AB141" s="375"/>
      <c r="AC141" s="634"/>
      <c r="AD141" s="634"/>
      <c r="AE141" s="634"/>
      <c r="AF141" s="634"/>
      <c r="AG141" s="634"/>
      <c r="AH141" s="634"/>
      <c r="AI141" s="634"/>
      <c r="AJ141" s="634"/>
      <c r="AK141" s="634"/>
      <c r="AL141" s="418"/>
      <c r="AM141" s="418"/>
      <c r="AN141" s="418"/>
    </row>
    <row r="142" spans="1:48" x14ac:dyDescent="0.35">
      <c r="A142" s="517" t="s">
        <v>737</v>
      </c>
      <c r="B142" s="517" t="s">
        <v>17</v>
      </c>
      <c r="C142" s="517"/>
      <c r="D142" s="517" t="s">
        <v>750</v>
      </c>
      <c r="E142" s="140" t="s">
        <v>976</v>
      </c>
      <c r="F142" s="432" t="s">
        <v>5</v>
      </c>
      <c r="G142" s="433">
        <v>16</v>
      </c>
      <c r="H142" s="404">
        <f>Ühikhinnad!$C$12</f>
        <v>350</v>
      </c>
      <c r="I142" s="405">
        <f t="shared" ref="I142:I146" si="308">G142*H142</f>
        <v>5600</v>
      </c>
      <c r="J142" s="612">
        <f t="shared" ref="J142:J146" si="309">yld*I142</f>
        <v>6439.9999999999991</v>
      </c>
      <c r="K142" s="608"/>
      <c r="L142" s="608"/>
      <c r="M142" s="608"/>
      <c r="O142" s="441"/>
      <c r="P142" s="492"/>
      <c r="Q142" s="441"/>
      <c r="T142" s="505"/>
      <c r="U142" s="492"/>
      <c r="V142" s="441"/>
      <c r="AC142" s="635"/>
      <c r="AG142" s="636"/>
      <c r="AH142" s="635"/>
    </row>
    <row r="143" spans="1:48" x14ac:dyDescent="0.2">
      <c r="A143" s="517" t="s">
        <v>737</v>
      </c>
      <c r="B143" s="517" t="s">
        <v>17</v>
      </c>
      <c r="C143" s="517"/>
      <c r="D143" s="517" t="s">
        <v>750</v>
      </c>
      <c r="E143" s="161" t="s">
        <v>980</v>
      </c>
      <c r="F143" s="144" t="s">
        <v>9</v>
      </c>
      <c r="G143" s="403">
        <v>105</v>
      </c>
      <c r="H143" s="404">
        <f>Ühikhinnad!$C$4</f>
        <v>160</v>
      </c>
      <c r="I143" s="405">
        <f t="shared" si="308"/>
        <v>16800</v>
      </c>
      <c r="J143" s="612">
        <f t="shared" si="309"/>
        <v>19320</v>
      </c>
      <c r="K143" s="608"/>
      <c r="L143" s="608"/>
      <c r="M143" s="608"/>
      <c r="N143" s="418"/>
      <c r="Y143" s="418"/>
      <c r="Z143" s="418"/>
      <c r="AA143" s="418"/>
      <c r="AO143" s="512" t="s">
        <v>724</v>
      </c>
      <c r="AP143" s="485">
        <v>2.23</v>
      </c>
      <c r="AQ143" s="375" t="s">
        <v>46</v>
      </c>
      <c r="AR143" s="512" t="s">
        <v>724</v>
      </c>
      <c r="AS143" s="485">
        <v>2.23</v>
      </c>
      <c r="AT143" s="375" t="s">
        <v>46</v>
      </c>
    </row>
    <row r="144" spans="1:48" x14ac:dyDescent="0.35">
      <c r="A144" s="517" t="s">
        <v>737</v>
      </c>
      <c r="B144" s="517" t="s">
        <v>17</v>
      </c>
      <c r="C144" s="517"/>
      <c r="D144" s="517" t="s">
        <v>750</v>
      </c>
      <c r="E144" s="161" t="s">
        <v>981</v>
      </c>
      <c r="F144" s="144" t="s">
        <v>9</v>
      </c>
      <c r="G144" s="403">
        <v>180</v>
      </c>
      <c r="H144" s="404">
        <f>Ühikhinnad!$C$5</f>
        <v>130</v>
      </c>
      <c r="I144" s="405">
        <f t="shared" si="308"/>
        <v>23400</v>
      </c>
      <c r="J144" s="612">
        <f t="shared" si="309"/>
        <v>26909.999999999996</v>
      </c>
      <c r="K144" s="608"/>
      <c r="L144" s="608"/>
      <c r="M144" s="608"/>
      <c r="N144" s="418"/>
      <c r="Y144" s="418"/>
      <c r="Z144" s="418"/>
      <c r="AA144" s="418"/>
      <c r="AO144" s="514" t="s">
        <v>722</v>
      </c>
      <c r="AP144" s="507">
        <f>AP140*AP149+AP141*AP143</f>
        <v>0</v>
      </c>
      <c r="AQ144" s="488" t="s">
        <v>734</v>
      </c>
      <c r="AR144" s="514" t="s">
        <v>731</v>
      </c>
      <c r="AS144" s="507">
        <f>AS140*AS149+AS141*AS143</f>
        <v>0</v>
      </c>
      <c r="AT144" s="488" t="s">
        <v>734</v>
      </c>
      <c r="AU144" s="414"/>
      <c r="AV144" s="414"/>
    </row>
    <row r="145" spans="1:46" x14ac:dyDescent="0.35">
      <c r="A145" s="517" t="s">
        <v>737</v>
      </c>
      <c r="B145" s="517" t="s">
        <v>17</v>
      </c>
      <c r="C145" s="517"/>
      <c r="D145" s="517" t="s">
        <v>750</v>
      </c>
      <c r="E145" s="161" t="s">
        <v>982</v>
      </c>
      <c r="F145" s="144" t="s">
        <v>5</v>
      </c>
      <c r="G145" s="425">
        <v>1</v>
      </c>
      <c r="H145" s="404">
        <f>Ühikhinnad!$C$7</f>
        <v>25000</v>
      </c>
      <c r="I145" s="405">
        <f t="shared" si="308"/>
        <v>25000</v>
      </c>
      <c r="J145" s="612">
        <f t="shared" si="309"/>
        <v>28749.999999999996</v>
      </c>
      <c r="K145" s="608"/>
      <c r="L145" s="608"/>
      <c r="M145" s="608"/>
      <c r="N145" s="418"/>
      <c r="Y145" s="418"/>
      <c r="Z145" s="418"/>
      <c r="AA145" s="418"/>
      <c r="AO145" s="513" t="s">
        <v>733</v>
      </c>
      <c r="AP145" s="493" t="e">
        <f>AP144-#REF!-AP148</f>
        <v>#REF!</v>
      </c>
      <c r="AQ145" s="441" t="s">
        <v>734</v>
      </c>
      <c r="AR145" s="513" t="s">
        <v>733</v>
      </c>
      <c r="AS145" s="493" t="e">
        <f>AS144-#REF!-AS148</f>
        <v>#REF!</v>
      </c>
      <c r="AT145" s="441" t="s">
        <v>734</v>
      </c>
    </row>
    <row r="146" spans="1:46" x14ac:dyDescent="0.35">
      <c r="A146" s="517" t="s">
        <v>737</v>
      </c>
      <c r="B146" s="517" t="s">
        <v>17</v>
      </c>
      <c r="C146" s="517"/>
      <c r="D146" s="517" t="s">
        <v>750</v>
      </c>
      <c r="E146" s="161" t="s">
        <v>977</v>
      </c>
      <c r="F146" s="144" t="s">
        <v>5</v>
      </c>
      <c r="G146" s="425">
        <v>4</v>
      </c>
      <c r="H146" s="404">
        <f>Ühikhinnad!$C$12</f>
        <v>350</v>
      </c>
      <c r="I146" s="405">
        <f t="shared" si="308"/>
        <v>1400</v>
      </c>
      <c r="J146" s="612">
        <f t="shared" si="309"/>
        <v>1609.9999999999998</v>
      </c>
      <c r="K146" s="608"/>
      <c r="L146" s="608"/>
      <c r="M146" s="608"/>
      <c r="N146" s="418"/>
      <c r="Y146" s="418"/>
      <c r="Z146" s="418"/>
      <c r="AA146" s="418"/>
      <c r="AO146" s="441"/>
      <c r="AP146" s="492" t="e">
        <f>AP145/AP140</f>
        <v>#REF!</v>
      </c>
      <c r="AQ146" s="441" t="s">
        <v>46</v>
      </c>
      <c r="AR146" s="505"/>
      <c r="AS146" s="492" t="e">
        <f>AS145/AS141</f>
        <v>#REF!</v>
      </c>
      <c r="AT146" s="441" t="s">
        <v>46</v>
      </c>
    </row>
    <row r="147" spans="1:46" x14ac:dyDescent="0.35">
      <c r="A147" s="517" t="s">
        <v>737</v>
      </c>
      <c r="B147" s="517" t="s">
        <v>17</v>
      </c>
      <c r="C147" s="517"/>
      <c r="D147" s="517" t="s">
        <v>750</v>
      </c>
      <c r="E147" s="140"/>
      <c r="F147" s="432"/>
      <c r="G147" s="432"/>
      <c r="H147" s="432"/>
      <c r="I147" s="432"/>
      <c r="J147" s="432"/>
      <c r="K147" s="608"/>
      <c r="L147" s="608"/>
      <c r="M147" s="608"/>
      <c r="N147" s="500" t="s">
        <v>738</v>
      </c>
      <c r="O147" s="375"/>
      <c r="AC147" s="375"/>
      <c r="AD147" s="375"/>
      <c r="AE147" s="375"/>
      <c r="AF147" s="375"/>
      <c r="AG147" s="375"/>
      <c r="AH147" s="375"/>
      <c r="AI147" s="375"/>
      <c r="AJ147" s="375"/>
      <c r="AK147" s="375"/>
      <c r="AL147" s="375"/>
      <c r="AM147" s="375"/>
      <c r="AN147" s="375"/>
    </row>
    <row r="148" spans="1:46" ht="15.5" thickBot="1" x14ac:dyDescent="0.4">
      <c r="E148" s="384" t="s">
        <v>606</v>
      </c>
      <c r="F148" s="384"/>
      <c r="G148" s="503"/>
      <c r="H148" s="426"/>
      <c r="I148" s="384"/>
      <c r="J148" s="389">
        <f>J149+J155</f>
        <v>1781062.5</v>
      </c>
      <c r="K148" s="620">
        <f>K149+K155</f>
        <v>1781062.5</v>
      </c>
      <c r="L148" s="620">
        <f>L149+L155</f>
        <v>0</v>
      </c>
      <c r="M148" s="620">
        <f>M149+M155</f>
        <v>0</v>
      </c>
      <c r="N148" s="375" t="str">
        <f>IF(J148=K148+L148+M148,"OK","viga")</f>
        <v>OK</v>
      </c>
      <c r="O148" s="375"/>
      <c r="AC148" s="375"/>
      <c r="AD148" s="375"/>
      <c r="AE148" s="375"/>
      <c r="AF148" s="375"/>
      <c r="AG148" s="375"/>
      <c r="AH148" s="375"/>
      <c r="AI148" s="375"/>
      <c r="AJ148" s="375"/>
      <c r="AK148" s="375"/>
      <c r="AL148" s="375"/>
      <c r="AM148" s="375"/>
      <c r="AN148" s="375"/>
    </row>
    <row r="149" spans="1:46" ht="10.5" thickTop="1" x14ac:dyDescent="0.35">
      <c r="E149" s="391" t="s">
        <v>581</v>
      </c>
      <c r="F149" s="392"/>
      <c r="G149" s="392"/>
      <c r="H149" s="393"/>
      <c r="I149" s="394"/>
      <c r="J149" s="610">
        <f>J151+J153</f>
        <v>40250</v>
      </c>
      <c r="K149" s="617">
        <f>K151+K153</f>
        <v>40250</v>
      </c>
      <c r="L149" s="617">
        <f>L151+L153</f>
        <v>0</v>
      </c>
      <c r="M149" s="617">
        <f>M151+M153</f>
        <v>0</v>
      </c>
      <c r="AC149" s="375"/>
      <c r="AD149" s="375"/>
      <c r="AE149" s="375"/>
      <c r="AF149" s="375"/>
      <c r="AG149" s="375"/>
      <c r="AH149" s="375"/>
      <c r="AI149" s="375"/>
      <c r="AJ149" s="375"/>
      <c r="AK149" s="375"/>
      <c r="AL149" s="375"/>
      <c r="AM149" s="375"/>
      <c r="AN149" s="375"/>
    </row>
    <row r="150" spans="1:46" x14ac:dyDescent="0.35">
      <c r="A150" s="376" t="s">
        <v>8</v>
      </c>
      <c r="B150" s="376" t="s">
        <v>14</v>
      </c>
      <c r="C150" s="376" t="s">
        <v>13</v>
      </c>
      <c r="D150" s="376" t="s">
        <v>6</v>
      </c>
      <c r="E150" s="377" t="s">
        <v>0</v>
      </c>
      <c r="F150" s="378" t="s">
        <v>1</v>
      </c>
      <c r="G150" s="379" t="s">
        <v>2</v>
      </c>
      <c r="H150" s="380" t="s">
        <v>3</v>
      </c>
      <c r="I150" s="380" t="s">
        <v>4</v>
      </c>
      <c r="J150" s="609" t="s">
        <v>52</v>
      </c>
      <c r="K150" s="623"/>
      <c r="L150" s="623"/>
      <c r="M150" s="623"/>
      <c r="N150" s="390"/>
      <c r="O150" s="395" t="s">
        <v>181</v>
      </c>
      <c r="P150" s="382">
        <v>2024</v>
      </c>
      <c r="Q150" s="382">
        <v>2025</v>
      </c>
      <c r="R150" s="382">
        <v>2026</v>
      </c>
      <c r="S150" s="382">
        <v>2027</v>
      </c>
      <c r="T150" s="383">
        <v>2028</v>
      </c>
      <c r="U150" s="383">
        <v>2029</v>
      </c>
      <c r="V150" s="383">
        <v>2030</v>
      </c>
      <c r="W150" s="383">
        <v>2031</v>
      </c>
      <c r="X150" s="383">
        <v>2032</v>
      </c>
      <c r="Y150" s="383">
        <v>2033</v>
      </c>
      <c r="Z150" s="383">
        <v>2034</v>
      </c>
      <c r="AA150" s="383">
        <v>2035</v>
      </c>
      <c r="AC150" s="382">
        <v>2024</v>
      </c>
      <c r="AD150" s="382">
        <v>2025</v>
      </c>
      <c r="AE150" s="382">
        <v>2026</v>
      </c>
      <c r="AF150" s="382">
        <v>2027</v>
      </c>
      <c r="AG150" s="383">
        <v>2028</v>
      </c>
      <c r="AH150" s="383">
        <v>2029</v>
      </c>
      <c r="AI150" s="383">
        <v>2030</v>
      </c>
      <c r="AJ150" s="383">
        <v>2031</v>
      </c>
      <c r="AK150" s="383">
        <v>2032</v>
      </c>
      <c r="AL150" s="383">
        <v>2033</v>
      </c>
      <c r="AM150" s="383">
        <v>2034</v>
      </c>
      <c r="AN150" s="383">
        <v>2035</v>
      </c>
    </row>
    <row r="151" spans="1:46" outlineLevel="1" x14ac:dyDescent="0.35">
      <c r="E151" s="396" t="s">
        <v>582</v>
      </c>
      <c r="F151" s="397"/>
      <c r="G151" s="397"/>
      <c r="H151" s="398"/>
      <c r="I151" s="399"/>
      <c r="J151" s="399">
        <f>SUM(J152:J152)</f>
        <v>0</v>
      </c>
      <c r="K151" s="621">
        <f>SUM(K152:K152)</f>
        <v>0</v>
      </c>
      <c r="L151" s="621">
        <f>SUM(L152:L152)</f>
        <v>0</v>
      </c>
      <c r="M151" s="621">
        <f>SUM(M152:M152)</f>
        <v>0</v>
      </c>
      <c r="O151" s="400"/>
      <c r="P151" s="400"/>
      <c r="Q151" s="400"/>
      <c r="R151" s="400"/>
      <c r="S151" s="400"/>
      <c r="T151" s="400"/>
      <c r="U151" s="400"/>
      <c r="V151" s="400"/>
      <c r="W151" s="400"/>
      <c r="X151" s="400"/>
      <c r="Y151" s="400"/>
      <c r="Z151" s="400"/>
      <c r="AA151" s="400"/>
      <c r="AC151" s="400"/>
      <c r="AD151" s="400"/>
      <c r="AE151" s="400"/>
      <c r="AF151" s="400"/>
      <c r="AG151" s="400"/>
      <c r="AH151" s="400"/>
      <c r="AI151" s="400"/>
      <c r="AJ151" s="400"/>
      <c r="AK151" s="400"/>
      <c r="AL151" s="400"/>
      <c r="AM151" s="400"/>
      <c r="AN151" s="400"/>
    </row>
    <row r="152" spans="1:46" outlineLevel="1" x14ac:dyDescent="0.35">
      <c r="A152" s="401"/>
      <c r="B152" s="401"/>
      <c r="C152" s="401"/>
      <c r="D152" s="401"/>
      <c r="E152" s="435"/>
      <c r="F152" s="402"/>
      <c r="G152" s="403"/>
      <c r="H152" s="417"/>
      <c r="I152" s="405"/>
      <c r="J152" s="612"/>
      <c r="K152" s="608"/>
      <c r="L152" s="608"/>
      <c r="M152" s="608"/>
      <c r="N152" s="406"/>
      <c r="O152" s="407"/>
      <c r="P152" s="408"/>
      <c r="Q152" s="408"/>
      <c r="R152" s="408"/>
      <c r="S152" s="408"/>
      <c r="T152" s="408"/>
      <c r="U152" s="408"/>
      <c r="V152" s="408"/>
      <c r="W152" s="408"/>
      <c r="X152" s="408"/>
      <c r="Y152" s="408"/>
      <c r="Z152" s="408"/>
      <c r="AA152" s="408"/>
      <c r="AC152" s="632"/>
      <c r="AD152" s="632"/>
      <c r="AE152" s="632"/>
      <c r="AF152" s="632"/>
      <c r="AG152" s="632"/>
      <c r="AH152" s="632"/>
      <c r="AI152" s="632"/>
      <c r="AJ152" s="632"/>
      <c r="AK152" s="632"/>
      <c r="AL152" s="632"/>
      <c r="AM152" s="632"/>
      <c r="AN152" s="632"/>
    </row>
    <row r="153" spans="1:46" x14ac:dyDescent="0.35">
      <c r="A153" s="409"/>
      <c r="B153" s="409"/>
      <c r="C153" s="409"/>
      <c r="D153" s="409"/>
      <c r="E153" s="410" t="s">
        <v>588</v>
      </c>
      <c r="F153" s="411"/>
      <c r="G153" s="411"/>
      <c r="H153" s="412"/>
      <c r="I153" s="413"/>
      <c r="J153" s="413">
        <f>SUM(J154:J154)</f>
        <v>40250</v>
      </c>
      <c r="K153" s="622">
        <f>SUM(K154:K154)</f>
        <v>40250</v>
      </c>
      <c r="L153" s="622">
        <f t="shared" ref="L153:M153" si="310">SUM(L154:L154)</f>
        <v>0</v>
      </c>
      <c r="M153" s="622">
        <f t="shared" si="310"/>
        <v>0</v>
      </c>
      <c r="N153" s="414"/>
      <c r="O153" s="415"/>
      <c r="P153" s="415"/>
      <c r="Q153" s="415"/>
      <c r="R153" s="415"/>
      <c r="S153" s="415"/>
      <c r="T153" s="415"/>
      <c r="U153" s="415"/>
      <c r="V153" s="415"/>
      <c r="W153" s="415"/>
      <c r="X153" s="415"/>
      <c r="Y153" s="415"/>
      <c r="Z153" s="415"/>
      <c r="AA153" s="415"/>
      <c r="AB153" s="414"/>
      <c r="AC153" s="415"/>
      <c r="AD153" s="415"/>
      <c r="AE153" s="415"/>
      <c r="AF153" s="415"/>
      <c r="AG153" s="415"/>
      <c r="AH153" s="415"/>
      <c r="AI153" s="415"/>
      <c r="AJ153" s="415"/>
      <c r="AK153" s="415"/>
      <c r="AL153" s="415"/>
      <c r="AM153" s="415"/>
      <c r="AN153" s="415"/>
    </row>
    <row r="154" spans="1:46" x14ac:dyDescent="0.35">
      <c r="A154" s="401" t="s">
        <v>583</v>
      </c>
      <c r="B154" s="401" t="s">
        <v>17</v>
      </c>
      <c r="C154" s="401" t="s">
        <v>753</v>
      </c>
      <c r="D154" s="401" t="s">
        <v>282</v>
      </c>
      <c r="E154" s="161" t="s">
        <v>804</v>
      </c>
      <c r="F154" s="432" t="s">
        <v>585</v>
      </c>
      <c r="G154" s="433">
        <v>1</v>
      </c>
      <c r="H154" s="404">
        <f>Ühikhinnad!$C$8</f>
        <v>35000</v>
      </c>
      <c r="I154" s="405">
        <f t="shared" ref="I154" si="311">G154*H154</f>
        <v>35000</v>
      </c>
      <c r="J154" s="612">
        <f t="shared" ref="J154" si="312">yld*I154</f>
        <v>40250</v>
      </c>
      <c r="K154" s="608">
        <f t="shared" ref="K154" si="313">J154-L154-M154</f>
        <v>40250</v>
      </c>
      <c r="L154" s="608"/>
      <c r="M154" s="608"/>
      <c r="O154" s="407">
        <v>25</v>
      </c>
      <c r="P154" s="408"/>
      <c r="Q154" s="408">
        <f>$J154</f>
        <v>40250</v>
      </c>
      <c r="R154" s="408"/>
      <c r="S154" s="408"/>
      <c r="T154" s="419"/>
      <c r="U154" s="419"/>
      <c r="V154" s="419"/>
      <c r="W154" s="419"/>
      <c r="X154" s="419"/>
      <c r="Y154" s="419"/>
      <c r="Z154" s="419"/>
      <c r="AA154" s="419"/>
      <c r="AC154" s="632">
        <f t="shared" ref="AC154" si="314">IFERROR(P154*$K154/$J154,0)</f>
        <v>0</v>
      </c>
      <c r="AD154" s="632">
        <f t="shared" ref="AD154" si="315">IFERROR(Q154*$K154/$J154,0)</f>
        <v>40250</v>
      </c>
      <c r="AE154" s="632">
        <f t="shared" ref="AE154" si="316">IFERROR(R154*$K154/$J154,0)</f>
        <v>0</v>
      </c>
      <c r="AF154" s="632">
        <f t="shared" ref="AF154" si="317">IFERROR(S154*$K154/$J154,0)</f>
        <v>0</v>
      </c>
      <c r="AG154" s="632">
        <f t="shared" ref="AG154" si="318">IFERROR(T154*$K154/$J154,0)</f>
        <v>0</v>
      </c>
      <c r="AH154" s="632">
        <f t="shared" ref="AH154" si="319">IFERROR(U154*$K154/$J154,0)</f>
        <v>0</v>
      </c>
      <c r="AI154" s="632">
        <f t="shared" ref="AI154" si="320">IFERROR(V154*$K154/$J154,0)</f>
        <v>0</v>
      </c>
      <c r="AJ154" s="632">
        <f t="shared" ref="AJ154" si="321">IFERROR(W154*$K154/$J154,0)</f>
        <v>0</v>
      </c>
      <c r="AK154" s="632">
        <f t="shared" ref="AK154" si="322">IFERROR(X154*$K154/$J154,0)</f>
        <v>0</v>
      </c>
      <c r="AL154" s="632">
        <f t="shared" ref="AL154" si="323">IFERROR(Y154*$K154/$J154,0)</f>
        <v>0</v>
      </c>
      <c r="AM154" s="632">
        <f t="shared" ref="AM154" si="324">IFERROR(Z154*$K154/$J154,0)</f>
        <v>0</v>
      </c>
      <c r="AN154" s="632">
        <f t="shared" ref="AN154" si="325">IFERROR(AA154*$K154/$J154,0)</f>
        <v>0</v>
      </c>
    </row>
    <row r="155" spans="1:46" s="390" customFormat="1" ht="10" x14ac:dyDescent="0.35">
      <c r="A155" s="370"/>
      <c r="B155" s="370"/>
      <c r="C155" s="370"/>
      <c r="D155" s="370"/>
      <c r="E155" s="420" t="s">
        <v>594</v>
      </c>
      <c r="F155" s="421"/>
      <c r="G155" s="421"/>
      <c r="H155" s="422"/>
      <c r="I155" s="423"/>
      <c r="J155" s="614">
        <f>J157+J164</f>
        <v>1740812.5</v>
      </c>
      <c r="K155" s="617">
        <f>K157+K164</f>
        <v>1740812.5</v>
      </c>
      <c r="L155" s="617">
        <f>L157+L164</f>
        <v>0</v>
      </c>
      <c r="M155" s="617">
        <f>M157+M164</f>
        <v>0</v>
      </c>
      <c r="N155" s="375"/>
      <c r="O155" s="375"/>
      <c r="P155" s="375"/>
      <c r="Q155" s="375"/>
      <c r="R155" s="375"/>
      <c r="S155" s="375"/>
      <c r="T155" s="375"/>
      <c r="U155" s="375"/>
      <c r="V155" s="375"/>
      <c r="W155" s="375"/>
      <c r="X155" s="375"/>
      <c r="Y155" s="375"/>
      <c r="Z155" s="375"/>
      <c r="AA155" s="375"/>
      <c r="AB155" s="375"/>
      <c r="AC155" s="375"/>
      <c r="AD155" s="375"/>
      <c r="AE155" s="375"/>
      <c r="AF155" s="375"/>
      <c r="AG155" s="375"/>
      <c r="AH155" s="375"/>
      <c r="AI155" s="375"/>
      <c r="AJ155" s="375"/>
      <c r="AK155" s="375"/>
      <c r="AL155" s="375"/>
      <c r="AM155" s="375"/>
      <c r="AN155" s="375"/>
    </row>
    <row r="156" spans="1:46" x14ac:dyDescent="0.35">
      <c r="A156" s="376" t="s">
        <v>8</v>
      </c>
      <c r="B156" s="376" t="s">
        <v>14</v>
      </c>
      <c r="C156" s="376" t="s">
        <v>13</v>
      </c>
      <c r="D156" s="376" t="s">
        <v>6</v>
      </c>
      <c r="E156" s="377" t="s">
        <v>0</v>
      </c>
      <c r="F156" s="378" t="s">
        <v>1</v>
      </c>
      <c r="G156" s="379" t="s">
        <v>2</v>
      </c>
      <c r="H156" s="380" t="s">
        <v>3</v>
      </c>
      <c r="I156" s="380" t="s">
        <v>4</v>
      </c>
      <c r="J156" s="609" t="s">
        <v>52</v>
      </c>
      <c r="K156" s="623"/>
      <c r="L156" s="623"/>
      <c r="M156" s="623"/>
      <c r="N156" s="390"/>
      <c r="O156" s="395" t="s">
        <v>181</v>
      </c>
      <c r="P156" s="382">
        <v>2024</v>
      </c>
      <c r="Q156" s="382">
        <v>2025</v>
      </c>
      <c r="R156" s="382">
        <v>2026</v>
      </c>
      <c r="S156" s="382">
        <v>2027</v>
      </c>
      <c r="T156" s="383">
        <v>2028</v>
      </c>
      <c r="U156" s="383">
        <v>2029</v>
      </c>
      <c r="V156" s="383">
        <v>2030</v>
      </c>
      <c r="W156" s="383">
        <v>2031</v>
      </c>
      <c r="X156" s="383">
        <v>2032</v>
      </c>
      <c r="Y156" s="383">
        <v>2033</v>
      </c>
      <c r="Z156" s="383">
        <v>2034</v>
      </c>
      <c r="AA156" s="383">
        <v>2035</v>
      </c>
      <c r="AC156" s="382">
        <v>2024</v>
      </c>
      <c r="AD156" s="382">
        <v>2025</v>
      </c>
      <c r="AE156" s="382">
        <v>2026</v>
      </c>
      <c r="AF156" s="382">
        <v>2027</v>
      </c>
      <c r="AG156" s="383">
        <v>2028</v>
      </c>
      <c r="AH156" s="383">
        <v>2029</v>
      </c>
      <c r="AI156" s="383">
        <v>2030</v>
      </c>
      <c r="AJ156" s="383">
        <v>2031</v>
      </c>
      <c r="AK156" s="383">
        <v>2032</v>
      </c>
      <c r="AL156" s="383">
        <v>2033</v>
      </c>
      <c r="AM156" s="383">
        <v>2034</v>
      </c>
      <c r="AN156" s="383">
        <v>2035</v>
      </c>
    </row>
    <row r="157" spans="1:46" x14ac:dyDescent="0.35">
      <c r="E157" s="396" t="s">
        <v>582</v>
      </c>
      <c r="F157" s="397"/>
      <c r="G157" s="397"/>
      <c r="H157" s="398"/>
      <c r="I157" s="399"/>
      <c r="J157" s="399">
        <f>SUM(J158:J163)</f>
        <v>883660</v>
      </c>
      <c r="K157" s="621">
        <f>SUM(K158:K163)</f>
        <v>883660</v>
      </c>
      <c r="L157" s="621">
        <f>SUM(L158:L163)</f>
        <v>0</v>
      </c>
      <c r="M157" s="621">
        <f>SUM(M158:M163)</f>
        <v>0</v>
      </c>
      <c r="O157" s="400"/>
      <c r="P157" s="400"/>
      <c r="Q157" s="400"/>
      <c r="R157" s="400"/>
      <c r="S157" s="400"/>
      <c r="T157" s="400"/>
      <c r="U157" s="400"/>
      <c r="V157" s="400"/>
      <c r="W157" s="400"/>
      <c r="X157" s="400"/>
      <c r="Y157" s="400"/>
      <c r="Z157" s="400"/>
      <c r="AA157" s="400"/>
      <c r="AC157" s="400"/>
      <c r="AD157" s="400"/>
      <c r="AE157" s="400"/>
      <c r="AF157" s="400"/>
      <c r="AG157" s="400"/>
      <c r="AH157" s="400"/>
      <c r="AI157" s="400"/>
      <c r="AJ157" s="400"/>
      <c r="AK157" s="400"/>
      <c r="AL157" s="400"/>
      <c r="AM157" s="400"/>
      <c r="AN157" s="400"/>
    </row>
    <row r="158" spans="1:46" s="416" customFormat="1" ht="19" x14ac:dyDescent="0.35">
      <c r="A158" s="401" t="s">
        <v>595</v>
      </c>
      <c r="B158" s="401" t="s">
        <v>15</v>
      </c>
      <c r="C158" s="401" t="s">
        <v>748</v>
      </c>
      <c r="D158" s="401" t="s">
        <v>282</v>
      </c>
      <c r="E158" s="140" t="s">
        <v>1019</v>
      </c>
      <c r="F158" s="402" t="s">
        <v>585</v>
      </c>
      <c r="G158" s="403">
        <v>1</v>
      </c>
      <c r="H158" s="417">
        <f>Ühikhinnad!$H$55</f>
        <v>353000</v>
      </c>
      <c r="I158" s="405">
        <f t="shared" ref="I158" si="326">G158*H158</f>
        <v>353000</v>
      </c>
      <c r="J158" s="612">
        <f t="shared" ref="J158" si="327">yld*I158</f>
        <v>405949.99999999994</v>
      </c>
      <c r="K158" s="608">
        <f t="shared" ref="K158:K159" si="328">J158-L158-M158</f>
        <v>405949.99999999994</v>
      </c>
      <c r="L158" s="608"/>
      <c r="M158" s="608"/>
      <c r="N158" s="406"/>
      <c r="O158" s="407">
        <v>25</v>
      </c>
      <c r="P158" s="408"/>
      <c r="Q158" s="408"/>
      <c r="R158" s="408"/>
      <c r="S158" s="408"/>
      <c r="T158" s="419">
        <f t="shared" ref="T158:AA163" si="329">$J158/8</f>
        <v>50743.749999999993</v>
      </c>
      <c r="U158" s="419">
        <f t="shared" si="329"/>
        <v>50743.749999999993</v>
      </c>
      <c r="V158" s="419">
        <f t="shared" si="329"/>
        <v>50743.749999999993</v>
      </c>
      <c r="W158" s="419">
        <f t="shared" si="329"/>
        <v>50743.749999999993</v>
      </c>
      <c r="X158" s="419">
        <f t="shared" si="329"/>
        <v>50743.749999999993</v>
      </c>
      <c r="Y158" s="419">
        <f t="shared" si="329"/>
        <v>50743.749999999993</v>
      </c>
      <c r="Z158" s="419">
        <f t="shared" si="329"/>
        <v>50743.749999999993</v>
      </c>
      <c r="AA158" s="419">
        <f t="shared" si="329"/>
        <v>50743.749999999993</v>
      </c>
      <c r="AB158" s="375"/>
      <c r="AC158" s="632">
        <f t="shared" ref="AC158" si="330">IFERROR(P158*$K158/$J158,0)</f>
        <v>0</v>
      </c>
      <c r="AD158" s="632">
        <f t="shared" ref="AD158" si="331">IFERROR(Q158*$K158/$J158,0)</f>
        <v>0</v>
      </c>
      <c r="AE158" s="632">
        <f t="shared" ref="AE158" si="332">IFERROR(R158*$K158/$J158,0)</f>
        <v>0</v>
      </c>
      <c r="AF158" s="632">
        <f t="shared" ref="AF158" si="333">IFERROR(S158*$K158/$J158,0)</f>
        <v>0</v>
      </c>
      <c r="AG158" s="632">
        <f t="shared" ref="AG158" si="334">IFERROR(T158*$K158/$J158,0)</f>
        <v>50743.749999999985</v>
      </c>
      <c r="AH158" s="632">
        <f t="shared" ref="AH158" si="335">IFERROR(U158*$K158/$J158,0)</f>
        <v>50743.749999999985</v>
      </c>
      <c r="AI158" s="632">
        <f t="shared" ref="AI158" si="336">IFERROR(V158*$K158/$J158,0)</f>
        <v>50743.749999999985</v>
      </c>
      <c r="AJ158" s="632">
        <f t="shared" ref="AJ158" si="337">IFERROR(W158*$K158/$J158,0)</f>
        <v>50743.749999999985</v>
      </c>
      <c r="AK158" s="632">
        <f t="shared" ref="AK158" si="338">IFERROR(X158*$K158/$J158,0)</f>
        <v>50743.749999999985</v>
      </c>
      <c r="AL158" s="632">
        <f t="shared" ref="AL158" si="339">IFERROR(Y158*$K158/$J158,0)</f>
        <v>50743.749999999985</v>
      </c>
      <c r="AM158" s="632">
        <f t="shared" ref="AM158" si="340">IFERROR(Z158*$K158/$J158,0)</f>
        <v>50743.749999999985</v>
      </c>
      <c r="AN158" s="632">
        <f t="shared" ref="AN158" si="341">IFERROR(AA158*$K158/$J158,0)</f>
        <v>50743.749999999985</v>
      </c>
    </row>
    <row r="159" spans="1:46" s="416" customFormat="1" x14ac:dyDescent="0.35">
      <c r="A159" s="401" t="s">
        <v>595</v>
      </c>
      <c r="B159" s="401" t="s">
        <v>15</v>
      </c>
      <c r="C159" s="401" t="s">
        <v>596</v>
      </c>
      <c r="D159" s="401" t="s">
        <v>282</v>
      </c>
      <c r="E159" s="161" t="s">
        <v>607</v>
      </c>
      <c r="F159" s="402" t="s">
        <v>9</v>
      </c>
      <c r="G159" s="403">
        <f>3220-1040</f>
        <v>2180</v>
      </c>
      <c r="H159" s="404">
        <f>Ühikhinnad!$C$2</f>
        <v>130</v>
      </c>
      <c r="I159" s="405">
        <f t="shared" ref="I159" si="342">G159*H159</f>
        <v>283400</v>
      </c>
      <c r="J159" s="612">
        <f t="shared" ref="J159" si="343">yld*I159</f>
        <v>325910</v>
      </c>
      <c r="K159" s="608">
        <f t="shared" si="328"/>
        <v>325910</v>
      </c>
      <c r="L159" s="608"/>
      <c r="M159" s="608"/>
      <c r="N159" s="406"/>
      <c r="O159" s="407">
        <v>50</v>
      </c>
      <c r="P159" s="408"/>
      <c r="Q159" s="408"/>
      <c r="R159" s="408"/>
      <c r="S159" s="408"/>
      <c r="T159" s="419">
        <f t="shared" si="329"/>
        <v>40738.75</v>
      </c>
      <c r="U159" s="419">
        <f t="shared" si="329"/>
        <v>40738.75</v>
      </c>
      <c r="V159" s="419">
        <f t="shared" si="329"/>
        <v>40738.75</v>
      </c>
      <c r="W159" s="419">
        <f t="shared" si="329"/>
        <v>40738.75</v>
      </c>
      <c r="X159" s="419">
        <f t="shared" si="329"/>
        <v>40738.75</v>
      </c>
      <c r="Y159" s="419">
        <f t="shared" si="329"/>
        <v>40738.75</v>
      </c>
      <c r="Z159" s="419">
        <f t="shared" si="329"/>
        <v>40738.75</v>
      </c>
      <c r="AA159" s="419">
        <f t="shared" si="329"/>
        <v>40738.75</v>
      </c>
      <c r="AB159" s="375"/>
      <c r="AC159" s="632">
        <f t="shared" ref="AC159" si="344">IFERROR(P159*$K159/$J159,0)</f>
        <v>0</v>
      </c>
      <c r="AD159" s="632">
        <f t="shared" ref="AD159" si="345">IFERROR(Q159*$K159/$J159,0)</f>
        <v>0</v>
      </c>
      <c r="AE159" s="632">
        <f t="shared" ref="AE159" si="346">IFERROR(R159*$K159/$J159,0)</f>
        <v>0</v>
      </c>
      <c r="AF159" s="632">
        <f t="shared" ref="AF159" si="347">IFERROR(S159*$K159/$J159,0)</f>
        <v>0</v>
      </c>
      <c r="AG159" s="632">
        <f t="shared" ref="AG159" si="348">IFERROR(T159*$K159/$J159,0)</f>
        <v>40738.75</v>
      </c>
      <c r="AH159" s="632">
        <f t="shared" ref="AH159" si="349">IFERROR(U159*$K159/$J159,0)</f>
        <v>40738.75</v>
      </c>
      <c r="AI159" s="632">
        <f t="shared" ref="AI159" si="350">IFERROR(V159*$K159/$J159,0)</f>
        <v>40738.75</v>
      </c>
      <c r="AJ159" s="632">
        <f t="shared" ref="AJ159" si="351">IFERROR(W159*$K159/$J159,0)</f>
        <v>40738.75</v>
      </c>
      <c r="AK159" s="632">
        <f t="shared" ref="AK159" si="352">IFERROR(X159*$K159/$J159,0)</f>
        <v>40738.75</v>
      </c>
      <c r="AL159" s="632">
        <f t="shared" ref="AL159" si="353">IFERROR(Y159*$K159/$J159,0)</f>
        <v>40738.75</v>
      </c>
      <c r="AM159" s="632">
        <f t="shared" ref="AM159" si="354">IFERROR(Z159*$K159/$J159,0)</f>
        <v>40738.75</v>
      </c>
      <c r="AN159" s="632">
        <f t="shared" ref="AN159" si="355">IFERROR(AA159*$K159/$J159,0)</f>
        <v>40738.75</v>
      </c>
    </row>
    <row r="160" spans="1:46" s="416" customFormat="1" x14ac:dyDescent="0.35">
      <c r="A160" s="401" t="s">
        <v>595</v>
      </c>
      <c r="B160" s="401" t="s">
        <v>15</v>
      </c>
      <c r="C160" s="401" t="s">
        <v>596</v>
      </c>
      <c r="D160" s="401" t="s">
        <v>282</v>
      </c>
      <c r="E160" s="161" t="s">
        <v>810</v>
      </c>
      <c r="F160" s="402" t="s">
        <v>9</v>
      </c>
      <c r="G160" s="403">
        <v>1040</v>
      </c>
      <c r="H160" s="404">
        <f>Ühikhinnad!$C$3</f>
        <v>80</v>
      </c>
      <c r="I160" s="405">
        <f t="shared" ref="I160:I163" si="356">G160*H160</f>
        <v>83200</v>
      </c>
      <c r="J160" s="612">
        <f t="shared" ref="J160:J163" si="357">yld*I160</f>
        <v>95679.999999999985</v>
      </c>
      <c r="K160" s="608">
        <f t="shared" ref="K160:K163" si="358">J160-L160-M160</f>
        <v>95679.999999999985</v>
      </c>
      <c r="L160" s="608"/>
      <c r="M160" s="608"/>
      <c r="N160" s="406"/>
      <c r="O160" s="407">
        <v>50</v>
      </c>
      <c r="P160" s="408"/>
      <c r="Q160" s="408"/>
      <c r="R160" s="408"/>
      <c r="S160" s="408"/>
      <c r="T160" s="419">
        <f t="shared" si="329"/>
        <v>11959.999999999998</v>
      </c>
      <c r="U160" s="419">
        <f t="shared" si="329"/>
        <v>11959.999999999998</v>
      </c>
      <c r="V160" s="419">
        <f t="shared" si="329"/>
        <v>11959.999999999998</v>
      </c>
      <c r="W160" s="419">
        <f t="shared" si="329"/>
        <v>11959.999999999998</v>
      </c>
      <c r="X160" s="419">
        <f t="shared" si="329"/>
        <v>11959.999999999998</v>
      </c>
      <c r="Y160" s="419">
        <f t="shared" si="329"/>
        <v>11959.999999999998</v>
      </c>
      <c r="Z160" s="419">
        <f t="shared" si="329"/>
        <v>11959.999999999998</v>
      </c>
      <c r="AA160" s="419">
        <f t="shared" si="329"/>
        <v>11959.999999999998</v>
      </c>
      <c r="AB160" s="375"/>
      <c r="AC160" s="632">
        <f t="shared" ref="AC160:AC163" si="359">IFERROR(P160*$K160/$J160,0)</f>
        <v>0</v>
      </c>
      <c r="AD160" s="632">
        <f t="shared" ref="AD160:AD163" si="360">IFERROR(Q160*$K160/$J160,0)</f>
        <v>0</v>
      </c>
      <c r="AE160" s="632">
        <f t="shared" ref="AE160:AE163" si="361">IFERROR(R160*$K160/$J160,0)</f>
        <v>0</v>
      </c>
      <c r="AF160" s="632">
        <f t="shared" ref="AF160:AF163" si="362">IFERROR(S160*$K160/$J160,0)</f>
        <v>0</v>
      </c>
      <c r="AG160" s="632">
        <f t="shared" ref="AG160:AG163" si="363">IFERROR(T160*$K160/$J160,0)</f>
        <v>11960</v>
      </c>
      <c r="AH160" s="632">
        <f t="shared" ref="AH160:AH163" si="364">IFERROR(U160*$K160/$J160,0)</f>
        <v>11960</v>
      </c>
      <c r="AI160" s="632">
        <f t="shared" ref="AI160:AI163" si="365">IFERROR(V160*$K160/$J160,0)</f>
        <v>11960</v>
      </c>
      <c r="AJ160" s="632">
        <f t="shared" ref="AJ160:AJ163" si="366">IFERROR(W160*$K160/$J160,0)</f>
        <v>11960</v>
      </c>
      <c r="AK160" s="632">
        <f t="shared" ref="AK160:AK163" si="367">IFERROR(X160*$K160/$J160,0)</f>
        <v>11960</v>
      </c>
      <c r="AL160" s="632">
        <f t="shared" ref="AL160:AL163" si="368">IFERROR(Y160*$K160/$J160,0)</f>
        <v>11960</v>
      </c>
      <c r="AM160" s="632">
        <f t="shared" ref="AM160:AM163" si="369">IFERROR(Z160*$K160/$J160,0)</f>
        <v>11960</v>
      </c>
      <c r="AN160" s="632">
        <f t="shared" ref="AN160:AN163" si="370">IFERROR(AA160*$K160/$J160,0)</f>
        <v>11960</v>
      </c>
    </row>
    <row r="161" spans="1:40" x14ac:dyDescent="0.35">
      <c r="A161" s="401" t="s">
        <v>595</v>
      </c>
      <c r="B161" s="401" t="s">
        <v>15</v>
      </c>
      <c r="C161" s="401" t="s">
        <v>745</v>
      </c>
      <c r="D161" s="401" t="s">
        <v>282</v>
      </c>
      <c r="E161" s="161" t="s">
        <v>608</v>
      </c>
      <c r="F161" s="402" t="s">
        <v>9</v>
      </c>
      <c r="G161" s="403">
        <v>20</v>
      </c>
      <c r="H161" s="404">
        <f>Ühikhinnad!$C$2</f>
        <v>130</v>
      </c>
      <c r="I161" s="405">
        <f t="shared" si="356"/>
        <v>2600</v>
      </c>
      <c r="J161" s="612">
        <f t="shared" si="357"/>
        <v>2989.9999999999995</v>
      </c>
      <c r="K161" s="608">
        <f t="shared" si="358"/>
        <v>2989.9999999999995</v>
      </c>
      <c r="L161" s="608"/>
      <c r="M161" s="608"/>
      <c r="N161" s="406"/>
      <c r="O161" s="407">
        <v>50</v>
      </c>
      <c r="P161" s="408"/>
      <c r="Q161" s="408"/>
      <c r="R161" s="408"/>
      <c r="S161" s="408"/>
      <c r="T161" s="419">
        <f t="shared" si="329"/>
        <v>373.74999999999994</v>
      </c>
      <c r="U161" s="419">
        <f t="shared" si="329"/>
        <v>373.74999999999994</v>
      </c>
      <c r="V161" s="419">
        <f t="shared" si="329"/>
        <v>373.74999999999994</v>
      </c>
      <c r="W161" s="419">
        <f t="shared" si="329"/>
        <v>373.74999999999994</v>
      </c>
      <c r="X161" s="419">
        <f t="shared" si="329"/>
        <v>373.74999999999994</v>
      </c>
      <c r="Y161" s="419">
        <f t="shared" si="329"/>
        <v>373.74999999999994</v>
      </c>
      <c r="Z161" s="419">
        <f t="shared" si="329"/>
        <v>373.74999999999994</v>
      </c>
      <c r="AA161" s="419">
        <f t="shared" si="329"/>
        <v>373.74999999999994</v>
      </c>
      <c r="AC161" s="632">
        <f t="shared" si="359"/>
        <v>0</v>
      </c>
      <c r="AD161" s="632">
        <f t="shared" si="360"/>
        <v>0</v>
      </c>
      <c r="AE161" s="632">
        <f t="shared" si="361"/>
        <v>0</v>
      </c>
      <c r="AF161" s="632">
        <f t="shared" si="362"/>
        <v>0</v>
      </c>
      <c r="AG161" s="632">
        <f t="shared" si="363"/>
        <v>373.75</v>
      </c>
      <c r="AH161" s="632">
        <f t="shared" si="364"/>
        <v>373.75</v>
      </c>
      <c r="AI161" s="632">
        <f t="shared" si="365"/>
        <v>373.75</v>
      </c>
      <c r="AJ161" s="632">
        <f t="shared" si="366"/>
        <v>373.75</v>
      </c>
      <c r="AK161" s="632">
        <f t="shared" si="367"/>
        <v>373.75</v>
      </c>
      <c r="AL161" s="632">
        <f t="shared" si="368"/>
        <v>373.75</v>
      </c>
      <c r="AM161" s="632">
        <f t="shared" si="369"/>
        <v>373.75</v>
      </c>
      <c r="AN161" s="632">
        <f t="shared" si="370"/>
        <v>373.75</v>
      </c>
    </row>
    <row r="162" spans="1:40" x14ac:dyDescent="0.35">
      <c r="A162" s="401" t="s">
        <v>595</v>
      </c>
      <c r="B162" s="444" t="s">
        <v>15</v>
      </c>
      <c r="C162" s="444" t="s">
        <v>611</v>
      </c>
      <c r="D162" s="401" t="s">
        <v>282</v>
      </c>
      <c r="E162" s="161" t="s">
        <v>609</v>
      </c>
      <c r="F162" s="402" t="s">
        <v>5</v>
      </c>
      <c r="G162" s="403">
        <v>14</v>
      </c>
      <c r="H162" s="417">
        <f>MROUND(1500*1.3,100)</f>
        <v>2000</v>
      </c>
      <c r="I162" s="405">
        <f t="shared" si="356"/>
        <v>28000</v>
      </c>
      <c r="J162" s="612">
        <f t="shared" si="357"/>
        <v>32199.999999999996</v>
      </c>
      <c r="K162" s="608">
        <f t="shared" si="358"/>
        <v>32199.999999999996</v>
      </c>
      <c r="L162" s="608"/>
      <c r="M162" s="608"/>
      <c r="N162" s="520"/>
      <c r="O162" s="407">
        <v>50</v>
      </c>
      <c r="P162" s="408"/>
      <c r="Q162" s="408"/>
      <c r="R162" s="408"/>
      <c r="S162" s="408"/>
      <c r="T162" s="419">
        <f t="shared" si="329"/>
        <v>4024.9999999999995</v>
      </c>
      <c r="U162" s="419">
        <f t="shared" si="329"/>
        <v>4024.9999999999995</v>
      </c>
      <c r="V162" s="419">
        <f t="shared" si="329"/>
        <v>4024.9999999999995</v>
      </c>
      <c r="W162" s="419">
        <f t="shared" si="329"/>
        <v>4024.9999999999995</v>
      </c>
      <c r="X162" s="419">
        <f t="shared" si="329"/>
        <v>4024.9999999999995</v>
      </c>
      <c r="Y162" s="419">
        <f t="shared" si="329"/>
        <v>4024.9999999999995</v>
      </c>
      <c r="Z162" s="419">
        <f t="shared" si="329"/>
        <v>4024.9999999999995</v>
      </c>
      <c r="AA162" s="419">
        <f t="shared" si="329"/>
        <v>4024.9999999999995</v>
      </c>
      <c r="AC162" s="632">
        <f t="shared" si="359"/>
        <v>0</v>
      </c>
      <c r="AD162" s="632">
        <f t="shared" si="360"/>
        <v>0</v>
      </c>
      <c r="AE162" s="632">
        <f t="shared" si="361"/>
        <v>0</v>
      </c>
      <c r="AF162" s="632">
        <f t="shared" si="362"/>
        <v>0</v>
      </c>
      <c r="AG162" s="632">
        <f t="shared" si="363"/>
        <v>4024.9999999999995</v>
      </c>
      <c r="AH162" s="632">
        <f t="shared" si="364"/>
        <v>4024.9999999999995</v>
      </c>
      <c r="AI162" s="632">
        <f t="shared" si="365"/>
        <v>4024.9999999999995</v>
      </c>
      <c r="AJ162" s="632">
        <f t="shared" si="366"/>
        <v>4024.9999999999995</v>
      </c>
      <c r="AK162" s="632">
        <f t="shared" si="367"/>
        <v>4024.9999999999995</v>
      </c>
      <c r="AL162" s="632">
        <f t="shared" si="368"/>
        <v>4024.9999999999995</v>
      </c>
      <c r="AM162" s="632">
        <f t="shared" si="369"/>
        <v>4024.9999999999995</v>
      </c>
      <c r="AN162" s="632">
        <f t="shared" si="370"/>
        <v>4024.9999999999995</v>
      </c>
    </row>
    <row r="163" spans="1:40" x14ac:dyDescent="0.35">
      <c r="A163" s="401" t="s">
        <v>595</v>
      </c>
      <c r="B163" s="401" t="s">
        <v>15</v>
      </c>
      <c r="C163" s="401" t="s">
        <v>596</v>
      </c>
      <c r="D163" s="401" t="s">
        <v>282</v>
      </c>
      <c r="E163" s="161" t="s">
        <v>610</v>
      </c>
      <c r="F163" s="402" t="s">
        <v>5</v>
      </c>
      <c r="G163" s="403">
        <v>52</v>
      </c>
      <c r="H163" s="404">
        <f>Ühikhinnad!$C$11</f>
        <v>350</v>
      </c>
      <c r="I163" s="405">
        <f t="shared" si="356"/>
        <v>18200</v>
      </c>
      <c r="J163" s="612">
        <f t="shared" si="357"/>
        <v>20930</v>
      </c>
      <c r="K163" s="608">
        <f t="shared" si="358"/>
        <v>20930</v>
      </c>
      <c r="L163" s="608"/>
      <c r="M163" s="608"/>
      <c r="N163" s="406"/>
      <c r="O163" s="407">
        <v>50</v>
      </c>
      <c r="P163" s="408"/>
      <c r="Q163" s="408"/>
      <c r="R163" s="408"/>
      <c r="S163" s="408"/>
      <c r="T163" s="419">
        <f t="shared" si="329"/>
        <v>2616.25</v>
      </c>
      <c r="U163" s="419">
        <f t="shared" si="329"/>
        <v>2616.25</v>
      </c>
      <c r="V163" s="419">
        <f t="shared" si="329"/>
        <v>2616.25</v>
      </c>
      <c r="W163" s="419">
        <f t="shared" si="329"/>
        <v>2616.25</v>
      </c>
      <c r="X163" s="419">
        <f t="shared" si="329"/>
        <v>2616.25</v>
      </c>
      <c r="Y163" s="419">
        <f t="shared" si="329"/>
        <v>2616.25</v>
      </c>
      <c r="Z163" s="419">
        <f t="shared" si="329"/>
        <v>2616.25</v>
      </c>
      <c r="AA163" s="419">
        <f t="shared" si="329"/>
        <v>2616.25</v>
      </c>
      <c r="AC163" s="632">
        <f t="shared" si="359"/>
        <v>0</v>
      </c>
      <c r="AD163" s="632">
        <f t="shared" si="360"/>
        <v>0</v>
      </c>
      <c r="AE163" s="632">
        <f t="shared" si="361"/>
        <v>0</v>
      </c>
      <c r="AF163" s="632">
        <f t="shared" si="362"/>
        <v>0</v>
      </c>
      <c r="AG163" s="632">
        <f t="shared" si="363"/>
        <v>2616.25</v>
      </c>
      <c r="AH163" s="632">
        <f t="shared" si="364"/>
        <v>2616.25</v>
      </c>
      <c r="AI163" s="632">
        <f t="shared" si="365"/>
        <v>2616.25</v>
      </c>
      <c r="AJ163" s="632">
        <f t="shared" si="366"/>
        <v>2616.25</v>
      </c>
      <c r="AK163" s="632">
        <f t="shared" si="367"/>
        <v>2616.25</v>
      </c>
      <c r="AL163" s="632">
        <f t="shared" si="368"/>
        <v>2616.25</v>
      </c>
      <c r="AM163" s="632">
        <f t="shared" si="369"/>
        <v>2616.25</v>
      </c>
      <c r="AN163" s="632">
        <f t="shared" si="370"/>
        <v>2616.25</v>
      </c>
    </row>
    <row r="164" spans="1:40" x14ac:dyDescent="0.35">
      <c r="E164" s="410" t="s">
        <v>588</v>
      </c>
      <c r="F164" s="428"/>
      <c r="G164" s="428"/>
      <c r="H164" s="429"/>
      <c r="I164" s="430"/>
      <c r="J164" s="413">
        <f>SUM(J165:J171)</f>
        <v>857152.5</v>
      </c>
      <c r="K164" s="622">
        <f>SUM(K165:K171)</f>
        <v>857152.5</v>
      </c>
      <c r="L164" s="622">
        <f>SUM(L165:L171)</f>
        <v>0</v>
      </c>
      <c r="M164" s="622">
        <f>SUM(M165:M171)</f>
        <v>0</v>
      </c>
      <c r="O164" s="431"/>
      <c r="P164" s="431"/>
      <c r="Q164" s="431"/>
      <c r="R164" s="431"/>
      <c r="S164" s="431"/>
      <c r="T164" s="431"/>
      <c r="U164" s="431"/>
      <c r="V164" s="431"/>
      <c r="W164" s="431"/>
      <c r="X164" s="431"/>
      <c r="Y164" s="431"/>
      <c r="Z164" s="431"/>
      <c r="AA164" s="431"/>
      <c r="AC164" s="431"/>
      <c r="AD164" s="431"/>
      <c r="AE164" s="431"/>
      <c r="AF164" s="431"/>
      <c r="AG164" s="431"/>
      <c r="AH164" s="431"/>
      <c r="AI164" s="431"/>
      <c r="AJ164" s="431"/>
      <c r="AK164" s="431"/>
      <c r="AL164" s="431"/>
      <c r="AM164" s="431"/>
      <c r="AN164" s="431"/>
    </row>
    <row r="165" spans="1:40" x14ac:dyDescent="0.35">
      <c r="A165" s="401" t="s">
        <v>595</v>
      </c>
      <c r="B165" s="401" t="s">
        <v>17</v>
      </c>
      <c r="C165" s="401" t="s">
        <v>612</v>
      </c>
      <c r="D165" s="401" t="s">
        <v>282</v>
      </c>
      <c r="E165" s="161" t="s">
        <v>613</v>
      </c>
      <c r="F165" s="432" t="s">
        <v>9</v>
      </c>
      <c r="G165" s="433">
        <v>3215</v>
      </c>
      <c r="H165" s="434">
        <f>Ühikhinnad!$C$4</f>
        <v>160</v>
      </c>
      <c r="I165" s="405">
        <f t="shared" ref="I165:I171" si="371">G165*H165</f>
        <v>514400</v>
      </c>
      <c r="J165" s="612">
        <f t="shared" ref="J165:J171" si="372">yld*I165</f>
        <v>591560</v>
      </c>
      <c r="K165" s="608">
        <f t="shared" ref="K165:K171" si="373">J165-L165-M165</f>
        <v>591560</v>
      </c>
      <c r="L165" s="608"/>
      <c r="M165" s="608"/>
      <c r="O165" s="407">
        <v>50</v>
      </c>
      <c r="P165" s="408"/>
      <c r="Q165" s="408"/>
      <c r="R165" s="408"/>
      <c r="S165" s="408"/>
      <c r="T165" s="419">
        <f t="shared" ref="T165:AA171" si="374">$J165/8</f>
        <v>73945</v>
      </c>
      <c r="U165" s="419">
        <f t="shared" si="374"/>
        <v>73945</v>
      </c>
      <c r="V165" s="419">
        <f t="shared" si="374"/>
        <v>73945</v>
      </c>
      <c r="W165" s="419">
        <f t="shared" si="374"/>
        <v>73945</v>
      </c>
      <c r="X165" s="419">
        <f t="shared" si="374"/>
        <v>73945</v>
      </c>
      <c r="Y165" s="419">
        <f t="shared" si="374"/>
        <v>73945</v>
      </c>
      <c r="Z165" s="419">
        <f t="shared" si="374"/>
        <v>73945</v>
      </c>
      <c r="AA165" s="419">
        <f t="shared" si="374"/>
        <v>73945</v>
      </c>
      <c r="AC165" s="632">
        <f t="shared" ref="AC165:AC171" si="375">IFERROR(P165*$K165/$J165,0)</f>
        <v>0</v>
      </c>
      <c r="AD165" s="632">
        <f t="shared" ref="AD165:AD171" si="376">IFERROR(Q165*$K165/$J165,0)</f>
        <v>0</v>
      </c>
      <c r="AE165" s="632">
        <f t="shared" ref="AE165:AE171" si="377">IFERROR(R165*$K165/$J165,0)</f>
        <v>0</v>
      </c>
      <c r="AF165" s="632">
        <f t="shared" ref="AF165:AF171" si="378">IFERROR(S165*$K165/$J165,0)</f>
        <v>0</v>
      </c>
      <c r="AG165" s="632">
        <f t="shared" ref="AG165:AG171" si="379">IFERROR(T165*$K165/$J165,0)</f>
        <v>73945</v>
      </c>
      <c r="AH165" s="632">
        <f t="shared" ref="AH165:AH171" si="380">IFERROR(U165*$K165/$J165,0)</f>
        <v>73945</v>
      </c>
      <c r="AI165" s="632">
        <f t="shared" ref="AI165:AI171" si="381">IFERROR(V165*$K165/$J165,0)</f>
        <v>73945</v>
      </c>
      <c r="AJ165" s="632">
        <f t="shared" ref="AJ165:AJ171" si="382">IFERROR(W165*$K165/$J165,0)</f>
        <v>73945</v>
      </c>
      <c r="AK165" s="632">
        <f t="shared" ref="AK165:AK171" si="383">IFERROR(X165*$K165/$J165,0)</f>
        <v>73945</v>
      </c>
      <c r="AL165" s="632">
        <f t="shared" ref="AL165:AL171" si="384">IFERROR(Y165*$K165/$J165,0)</f>
        <v>73945</v>
      </c>
      <c r="AM165" s="632">
        <f t="shared" ref="AM165:AM171" si="385">IFERROR(Z165*$K165/$J165,0)</f>
        <v>73945</v>
      </c>
      <c r="AN165" s="632">
        <f t="shared" ref="AN165:AN171" si="386">IFERROR(AA165*$K165/$J165,0)</f>
        <v>73945</v>
      </c>
    </row>
    <row r="166" spans="1:40" x14ac:dyDescent="0.35">
      <c r="A166" s="401" t="s">
        <v>595</v>
      </c>
      <c r="B166" s="401" t="s">
        <v>17</v>
      </c>
      <c r="C166" s="401" t="s">
        <v>614</v>
      </c>
      <c r="D166" s="401" t="s">
        <v>282</v>
      </c>
      <c r="E166" s="161" t="s">
        <v>615</v>
      </c>
      <c r="F166" s="432" t="s">
        <v>9</v>
      </c>
      <c r="G166" s="433">
        <v>535</v>
      </c>
      <c r="H166" s="434">
        <f>Ühikhinnad!$C$4</f>
        <v>160</v>
      </c>
      <c r="I166" s="405">
        <f t="shared" si="371"/>
        <v>85600</v>
      </c>
      <c r="J166" s="612">
        <f t="shared" si="372"/>
        <v>98439.999999999985</v>
      </c>
      <c r="K166" s="608">
        <f t="shared" si="373"/>
        <v>98439.999999999985</v>
      </c>
      <c r="L166" s="608"/>
      <c r="M166" s="608"/>
      <c r="O166" s="407">
        <v>50</v>
      </c>
      <c r="P166" s="408"/>
      <c r="Q166" s="408"/>
      <c r="R166" s="408"/>
      <c r="S166" s="408"/>
      <c r="T166" s="419">
        <f t="shared" si="374"/>
        <v>12304.999999999998</v>
      </c>
      <c r="U166" s="419">
        <f t="shared" si="374"/>
        <v>12304.999999999998</v>
      </c>
      <c r="V166" s="419">
        <f t="shared" si="374"/>
        <v>12304.999999999998</v>
      </c>
      <c r="W166" s="419">
        <f t="shared" si="374"/>
        <v>12304.999999999998</v>
      </c>
      <c r="X166" s="419">
        <f t="shared" si="374"/>
        <v>12304.999999999998</v>
      </c>
      <c r="Y166" s="419">
        <f t="shared" si="374"/>
        <v>12304.999999999998</v>
      </c>
      <c r="Z166" s="419">
        <f t="shared" si="374"/>
        <v>12304.999999999998</v>
      </c>
      <c r="AA166" s="419">
        <f t="shared" si="374"/>
        <v>12304.999999999998</v>
      </c>
      <c r="AC166" s="632">
        <f t="shared" si="375"/>
        <v>0</v>
      </c>
      <c r="AD166" s="632">
        <f t="shared" si="376"/>
        <v>0</v>
      </c>
      <c r="AE166" s="632">
        <f t="shared" si="377"/>
        <v>0</v>
      </c>
      <c r="AF166" s="632">
        <f t="shared" si="378"/>
        <v>0</v>
      </c>
      <c r="AG166" s="632">
        <f t="shared" si="379"/>
        <v>12304.999999999996</v>
      </c>
      <c r="AH166" s="632">
        <f t="shared" si="380"/>
        <v>12304.999999999996</v>
      </c>
      <c r="AI166" s="632">
        <f t="shared" si="381"/>
        <v>12304.999999999996</v>
      </c>
      <c r="AJ166" s="632">
        <f t="shared" si="382"/>
        <v>12304.999999999996</v>
      </c>
      <c r="AK166" s="632">
        <f t="shared" si="383"/>
        <v>12304.999999999996</v>
      </c>
      <c r="AL166" s="632">
        <f t="shared" si="384"/>
        <v>12304.999999999996</v>
      </c>
      <c r="AM166" s="632">
        <f t="shared" si="385"/>
        <v>12304.999999999996</v>
      </c>
      <c r="AN166" s="632">
        <f t="shared" si="386"/>
        <v>12304.999999999996</v>
      </c>
    </row>
    <row r="167" spans="1:40" x14ac:dyDescent="0.35">
      <c r="A167" s="401" t="s">
        <v>595</v>
      </c>
      <c r="B167" s="401" t="s">
        <v>17</v>
      </c>
      <c r="C167" s="401" t="s">
        <v>612</v>
      </c>
      <c r="D167" s="401" t="s">
        <v>282</v>
      </c>
      <c r="E167" s="161" t="s">
        <v>616</v>
      </c>
      <c r="F167" s="432" t="s">
        <v>9</v>
      </c>
      <c r="G167" s="433">
        <v>565</v>
      </c>
      <c r="H167" s="404">
        <f>Ühikhinnad!$C$5</f>
        <v>130</v>
      </c>
      <c r="I167" s="405">
        <f t="shared" si="371"/>
        <v>73450</v>
      </c>
      <c r="J167" s="612">
        <f t="shared" si="372"/>
        <v>84467.5</v>
      </c>
      <c r="K167" s="608">
        <f t="shared" si="373"/>
        <v>84467.5</v>
      </c>
      <c r="L167" s="608"/>
      <c r="M167" s="608"/>
      <c r="O167" s="407">
        <v>50</v>
      </c>
      <c r="P167" s="408"/>
      <c r="Q167" s="408"/>
      <c r="R167" s="408"/>
      <c r="S167" s="408"/>
      <c r="T167" s="419">
        <f t="shared" si="374"/>
        <v>10558.4375</v>
      </c>
      <c r="U167" s="419">
        <f t="shared" si="374"/>
        <v>10558.4375</v>
      </c>
      <c r="V167" s="419">
        <f t="shared" si="374"/>
        <v>10558.4375</v>
      </c>
      <c r="W167" s="419">
        <f t="shared" si="374"/>
        <v>10558.4375</v>
      </c>
      <c r="X167" s="419">
        <f t="shared" si="374"/>
        <v>10558.4375</v>
      </c>
      <c r="Y167" s="419">
        <f t="shared" si="374"/>
        <v>10558.4375</v>
      </c>
      <c r="Z167" s="419">
        <f t="shared" si="374"/>
        <v>10558.4375</v>
      </c>
      <c r="AA167" s="419">
        <f t="shared" si="374"/>
        <v>10558.4375</v>
      </c>
      <c r="AC167" s="632">
        <f t="shared" si="375"/>
        <v>0</v>
      </c>
      <c r="AD167" s="632">
        <f t="shared" si="376"/>
        <v>0</v>
      </c>
      <c r="AE167" s="632">
        <f t="shared" si="377"/>
        <v>0</v>
      </c>
      <c r="AF167" s="632">
        <f t="shared" si="378"/>
        <v>0</v>
      </c>
      <c r="AG167" s="632">
        <f t="shared" si="379"/>
        <v>10558.4375</v>
      </c>
      <c r="AH167" s="632">
        <f t="shared" si="380"/>
        <v>10558.4375</v>
      </c>
      <c r="AI167" s="632">
        <f t="shared" si="381"/>
        <v>10558.4375</v>
      </c>
      <c r="AJ167" s="632">
        <f t="shared" si="382"/>
        <v>10558.4375</v>
      </c>
      <c r="AK167" s="632">
        <f t="shared" si="383"/>
        <v>10558.4375</v>
      </c>
      <c r="AL167" s="632">
        <f t="shared" si="384"/>
        <v>10558.4375</v>
      </c>
      <c r="AM167" s="632">
        <f t="shared" si="385"/>
        <v>10558.4375</v>
      </c>
      <c r="AN167" s="632">
        <f t="shared" si="386"/>
        <v>10558.4375</v>
      </c>
    </row>
    <row r="168" spans="1:40" x14ac:dyDescent="0.35">
      <c r="A168" s="401" t="s">
        <v>595</v>
      </c>
      <c r="B168" s="401" t="s">
        <v>17</v>
      </c>
      <c r="C168" s="401" t="s">
        <v>614</v>
      </c>
      <c r="D168" s="401" t="s">
        <v>282</v>
      </c>
      <c r="E168" s="161" t="s">
        <v>617</v>
      </c>
      <c r="F168" s="432" t="s">
        <v>9</v>
      </c>
      <c r="G168" s="433">
        <v>210</v>
      </c>
      <c r="H168" s="404">
        <f>Ühikhinnad!$C$5</f>
        <v>130</v>
      </c>
      <c r="I168" s="405">
        <f t="shared" si="371"/>
        <v>27300</v>
      </c>
      <c r="J168" s="612">
        <f t="shared" si="372"/>
        <v>31394.999999999996</v>
      </c>
      <c r="K168" s="608">
        <f t="shared" si="373"/>
        <v>31394.999999999996</v>
      </c>
      <c r="L168" s="608"/>
      <c r="M168" s="608"/>
      <c r="O168" s="407">
        <v>50</v>
      </c>
      <c r="P168" s="408"/>
      <c r="Q168" s="408"/>
      <c r="R168" s="408"/>
      <c r="S168" s="408"/>
      <c r="T168" s="419">
        <f t="shared" si="374"/>
        <v>3924.3749999999995</v>
      </c>
      <c r="U168" s="419">
        <f t="shared" si="374"/>
        <v>3924.3749999999995</v>
      </c>
      <c r="V168" s="419">
        <f t="shared" si="374"/>
        <v>3924.3749999999995</v>
      </c>
      <c r="W168" s="419">
        <f t="shared" si="374"/>
        <v>3924.3749999999995</v>
      </c>
      <c r="X168" s="419">
        <f t="shared" si="374"/>
        <v>3924.3749999999995</v>
      </c>
      <c r="Y168" s="419">
        <f t="shared" si="374"/>
        <v>3924.3749999999995</v>
      </c>
      <c r="Z168" s="419">
        <f t="shared" si="374"/>
        <v>3924.3749999999995</v>
      </c>
      <c r="AA168" s="419">
        <f t="shared" si="374"/>
        <v>3924.3749999999995</v>
      </c>
      <c r="AC168" s="632">
        <f t="shared" si="375"/>
        <v>0</v>
      </c>
      <c r="AD168" s="632">
        <f t="shared" si="376"/>
        <v>0</v>
      </c>
      <c r="AE168" s="632">
        <f t="shared" si="377"/>
        <v>0</v>
      </c>
      <c r="AF168" s="632">
        <f t="shared" si="378"/>
        <v>0</v>
      </c>
      <c r="AG168" s="632">
        <f t="shared" si="379"/>
        <v>3924.3749999999995</v>
      </c>
      <c r="AH168" s="632">
        <f t="shared" si="380"/>
        <v>3924.3749999999995</v>
      </c>
      <c r="AI168" s="632">
        <f t="shared" si="381"/>
        <v>3924.3749999999995</v>
      </c>
      <c r="AJ168" s="632">
        <f t="shared" si="382"/>
        <v>3924.3749999999995</v>
      </c>
      <c r="AK168" s="632">
        <f t="shared" si="383"/>
        <v>3924.3749999999995</v>
      </c>
      <c r="AL168" s="632">
        <f t="shared" si="384"/>
        <v>3924.3749999999995</v>
      </c>
      <c r="AM168" s="632">
        <f t="shared" si="385"/>
        <v>3924.3749999999995</v>
      </c>
      <c r="AN168" s="632">
        <f t="shared" si="386"/>
        <v>3924.3749999999995</v>
      </c>
    </row>
    <row r="169" spans="1:40" s="390" customFormat="1" x14ac:dyDescent="0.35">
      <c r="A169" s="401" t="s">
        <v>595</v>
      </c>
      <c r="B169" s="401" t="s">
        <v>17</v>
      </c>
      <c r="C169" s="401" t="s">
        <v>612</v>
      </c>
      <c r="D169" s="401" t="s">
        <v>282</v>
      </c>
      <c r="E169" s="161" t="s">
        <v>610</v>
      </c>
      <c r="F169" s="432" t="s">
        <v>5</v>
      </c>
      <c r="G169" s="433">
        <v>32</v>
      </c>
      <c r="H169" s="404">
        <f>Ühikhinnad!$C$12</f>
        <v>350</v>
      </c>
      <c r="I169" s="405">
        <f t="shared" si="371"/>
        <v>11200</v>
      </c>
      <c r="J169" s="612">
        <f t="shared" si="372"/>
        <v>12879.999999999998</v>
      </c>
      <c r="K169" s="608">
        <f t="shared" si="373"/>
        <v>12879.999999999998</v>
      </c>
      <c r="L169" s="608"/>
      <c r="M169" s="608"/>
      <c r="N169" s="375"/>
      <c r="O169" s="407">
        <v>50</v>
      </c>
      <c r="P169" s="408"/>
      <c r="Q169" s="408"/>
      <c r="R169" s="408"/>
      <c r="S169" s="408"/>
      <c r="T169" s="419">
        <f t="shared" si="374"/>
        <v>1609.9999999999998</v>
      </c>
      <c r="U169" s="419">
        <f t="shared" si="374"/>
        <v>1609.9999999999998</v>
      </c>
      <c r="V169" s="419">
        <f t="shared" si="374"/>
        <v>1609.9999999999998</v>
      </c>
      <c r="W169" s="419">
        <f t="shared" si="374"/>
        <v>1609.9999999999998</v>
      </c>
      <c r="X169" s="419">
        <f t="shared" si="374"/>
        <v>1609.9999999999998</v>
      </c>
      <c r="Y169" s="419">
        <f t="shared" si="374"/>
        <v>1609.9999999999998</v>
      </c>
      <c r="Z169" s="419">
        <f t="shared" si="374"/>
        <v>1609.9999999999998</v>
      </c>
      <c r="AA169" s="419">
        <f t="shared" si="374"/>
        <v>1609.9999999999998</v>
      </c>
      <c r="AB169" s="375"/>
      <c r="AC169" s="632">
        <f t="shared" si="375"/>
        <v>0</v>
      </c>
      <c r="AD169" s="632">
        <f t="shared" si="376"/>
        <v>0</v>
      </c>
      <c r="AE169" s="632">
        <f t="shared" si="377"/>
        <v>0</v>
      </c>
      <c r="AF169" s="632">
        <f t="shared" si="378"/>
        <v>0</v>
      </c>
      <c r="AG169" s="632">
        <f t="shared" si="379"/>
        <v>1609.9999999999995</v>
      </c>
      <c r="AH169" s="632">
        <f t="shared" si="380"/>
        <v>1609.9999999999995</v>
      </c>
      <c r="AI169" s="632">
        <f t="shared" si="381"/>
        <v>1609.9999999999995</v>
      </c>
      <c r="AJ169" s="632">
        <f t="shared" si="382"/>
        <v>1609.9999999999995</v>
      </c>
      <c r="AK169" s="632">
        <f t="shared" si="383"/>
        <v>1609.9999999999995</v>
      </c>
      <c r="AL169" s="632">
        <f t="shared" si="384"/>
        <v>1609.9999999999995</v>
      </c>
      <c r="AM169" s="632">
        <f t="shared" si="385"/>
        <v>1609.9999999999995</v>
      </c>
      <c r="AN169" s="632">
        <f t="shared" si="386"/>
        <v>1609.9999999999995</v>
      </c>
    </row>
    <row r="170" spans="1:40" x14ac:dyDescent="0.35">
      <c r="A170" s="401" t="s">
        <v>595</v>
      </c>
      <c r="B170" s="401" t="s">
        <v>17</v>
      </c>
      <c r="C170" s="401" t="s">
        <v>614</v>
      </c>
      <c r="D170" s="401" t="s">
        <v>282</v>
      </c>
      <c r="E170" s="161" t="s">
        <v>618</v>
      </c>
      <c r="F170" s="432" t="s">
        <v>5</v>
      </c>
      <c r="G170" s="433">
        <v>24</v>
      </c>
      <c r="H170" s="404">
        <f>Ühikhinnad!$C$12</f>
        <v>350</v>
      </c>
      <c r="I170" s="405">
        <f t="shared" si="371"/>
        <v>8400</v>
      </c>
      <c r="J170" s="612">
        <f t="shared" si="372"/>
        <v>9660</v>
      </c>
      <c r="K170" s="608">
        <f t="shared" si="373"/>
        <v>9660</v>
      </c>
      <c r="L170" s="608"/>
      <c r="M170" s="608"/>
      <c r="O170" s="407">
        <v>50</v>
      </c>
      <c r="P170" s="408"/>
      <c r="Q170" s="408"/>
      <c r="R170" s="408"/>
      <c r="S170" s="408"/>
      <c r="T170" s="419">
        <f t="shared" si="374"/>
        <v>1207.5</v>
      </c>
      <c r="U170" s="419">
        <f t="shared" si="374"/>
        <v>1207.5</v>
      </c>
      <c r="V170" s="419">
        <f t="shared" si="374"/>
        <v>1207.5</v>
      </c>
      <c r="W170" s="419">
        <f t="shared" si="374"/>
        <v>1207.5</v>
      </c>
      <c r="X170" s="419">
        <f t="shared" si="374"/>
        <v>1207.5</v>
      </c>
      <c r="Y170" s="419">
        <f t="shared" si="374"/>
        <v>1207.5</v>
      </c>
      <c r="Z170" s="419">
        <f t="shared" si="374"/>
        <v>1207.5</v>
      </c>
      <c r="AA170" s="419">
        <f t="shared" si="374"/>
        <v>1207.5</v>
      </c>
      <c r="AC170" s="632">
        <f t="shared" si="375"/>
        <v>0</v>
      </c>
      <c r="AD170" s="632">
        <f t="shared" si="376"/>
        <v>0</v>
      </c>
      <c r="AE170" s="632">
        <f t="shared" si="377"/>
        <v>0</v>
      </c>
      <c r="AF170" s="632">
        <f t="shared" si="378"/>
        <v>0</v>
      </c>
      <c r="AG170" s="632">
        <f t="shared" si="379"/>
        <v>1207.5</v>
      </c>
      <c r="AH170" s="632">
        <f t="shared" si="380"/>
        <v>1207.5</v>
      </c>
      <c r="AI170" s="632">
        <f t="shared" si="381"/>
        <v>1207.5</v>
      </c>
      <c r="AJ170" s="632">
        <f t="shared" si="382"/>
        <v>1207.5</v>
      </c>
      <c r="AK170" s="632">
        <f t="shared" si="383"/>
        <v>1207.5</v>
      </c>
      <c r="AL170" s="632">
        <f t="shared" si="384"/>
        <v>1207.5</v>
      </c>
      <c r="AM170" s="632">
        <f t="shared" si="385"/>
        <v>1207.5</v>
      </c>
      <c r="AN170" s="632">
        <f t="shared" si="386"/>
        <v>1207.5</v>
      </c>
    </row>
    <row r="171" spans="1:40" x14ac:dyDescent="0.35">
      <c r="A171" s="401" t="s">
        <v>595</v>
      </c>
      <c r="B171" s="401" t="s">
        <v>17</v>
      </c>
      <c r="C171" s="401" t="s">
        <v>753</v>
      </c>
      <c r="D171" s="401" t="s">
        <v>282</v>
      </c>
      <c r="E171" s="161" t="s">
        <v>797</v>
      </c>
      <c r="F171" s="432" t="s">
        <v>585</v>
      </c>
      <c r="G171" s="433">
        <v>1</v>
      </c>
      <c r="H171" s="404">
        <f>Ühikhinnad!$C$7</f>
        <v>25000</v>
      </c>
      <c r="I171" s="405">
        <f t="shared" si="371"/>
        <v>25000</v>
      </c>
      <c r="J171" s="612">
        <f t="shared" si="372"/>
        <v>28749.999999999996</v>
      </c>
      <c r="K171" s="608">
        <f t="shared" si="373"/>
        <v>28749.999999999996</v>
      </c>
      <c r="L171" s="608"/>
      <c r="M171" s="608"/>
      <c r="O171" s="407">
        <v>25</v>
      </c>
      <c r="P171" s="408"/>
      <c r="Q171" s="408"/>
      <c r="R171" s="408"/>
      <c r="S171" s="408"/>
      <c r="T171" s="419">
        <f t="shared" si="374"/>
        <v>3593.7499999999995</v>
      </c>
      <c r="U171" s="419">
        <f t="shared" si="374"/>
        <v>3593.7499999999995</v>
      </c>
      <c r="V171" s="419">
        <f t="shared" si="374"/>
        <v>3593.7499999999995</v>
      </c>
      <c r="W171" s="419">
        <f t="shared" si="374"/>
        <v>3593.7499999999995</v>
      </c>
      <c r="X171" s="419">
        <f t="shared" si="374"/>
        <v>3593.7499999999995</v>
      </c>
      <c r="Y171" s="419">
        <f t="shared" si="374"/>
        <v>3593.7499999999995</v>
      </c>
      <c r="Z171" s="419">
        <f t="shared" si="374"/>
        <v>3593.7499999999995</v>
      </c>
      <c r="AA171" s="419">
        <f t="shared" si="374"/>
        <v>3593.7499999999995</v>
      </c>
      <c r="AC171" s="632">
        <f t="shared" si="375"/>
        <v>0</v>
      </c>
      <c r="AD171" s="632">
        <f t="shared" si="376"/>
        <v>0</v>
      </c>
      <c r="AE171" s="632">
        <f t="shared" si="377"/>
        <v>0</v>
      </c>
      <c r="AF171" s="632">
        <f t="shared" si="378"/>
        <v>0</v>
      </c>
      <c r="AG171" s="632">
        <f t="shared" si="379"/>
        <v>3593.7499999999995</v>
      </c>
      <c r="AH171" s="632">
        <f t="shared" si="380"/>
        <v>3593.7499999999995</v>
      </c>
      <c r="AI171" s="632">
        <f t="shared" si="381"/>
        <v>3593.7499999999995</v>
      </c>
      <c r="AJ171" s="632">
        <f t="shared" si="382"/>
        <v>3593.7499999999995</v>
      </c>
      <c r="AK171" s="632">
        <f t="shared" si="383"/>
        <v>3593.7499999999995</v>
      </c>
      <c r="AL171" s="632">
        <f t="shared" si="384"/>
        <v>3593.7499999999995</v>
      </c>
      <c r="AM171" s="632">
        <f t="shared" si="385"/>
        <v>3593.7499999999995</v>
      </c>
      <c r="AN171" s="632">
        <f t="shared" si="386"/>
        <v>3593.7499999999995</v>
      </c>
    </row>
    <row r="172" spans="1:40" ht="15.5" thickBot="1" x14ac:dyDescent="0.4">
      <c r="E172" s="384" t="s">
        <v>619</v>
      </c>
      <c r="F172" s="384"/>
      <c r="G172" s="503"/>
      <c r="H172" s="426"/>
      <c r="I172" s="384"/>
      <c r="J172" s="389">
        <f>J173+J194</f>
        <v>1684225</v>
      </c>
      <c r="K172" s="620">
        <f>K173+K194</f>
        <v>1038450</v>
      </c>
      <c r="L172" s="620">
        <f>L173+L194</f>
        <v>15000</v>
      </c>
      <c r="M172" s="620">
        <f>M173+M194</f>
        <v>630775</v>
      </c>
      <c r="N172" s="375" t="str">
        <f>IF(J172=K172+L172+M172,"OK","viga")</f>
        <v>OK</v>
      </c>
      <c r="AC172" s="375"/>
      <c r="AD172" s="375"/>
      <c r="AE172" s="375"/>
      <c r="AF172" s="375"/>
      <c r="AG172" s="375"/>
      <c r="AH172" s="375"/>
      <c r="AI172" s="375"/>
      <c r="AJ172" s="375"/>
      <c r="AK172" s="375"/>
      <c r="AL172" s="375"/>
      <c r="AM172" s="375"/>
      <c r="AN172" s="375"/>
    </row>
    <row r="173" spans="1:40" ht="10.5" thickTop="1" x14ac:dyDescent="0.35">
      <c r="E173" s="391" t="s">
        <v>581</v>
      </c>
      <c r="F173" s="392"/>
      <c r="G173" s="392"/>
      <c r="H173" s="393"/>
      <c r="I173" s="394"/>
      <c r="J173" s="610">
        <f>J175+J183</f>
        <v>1592282.5</v>
      </c>
      <c r="K173" s="617">
        <f>K175+K183</f>
        <v>946507.5</v>
      </c>
      <c r="L173" s="617">
        <f>L175+L183</f>
        <v>15000</v>
      </c>
      <c r="M173" s="617">
        <f>M175+M183</f>
        <v>630775</v>
      </c>
      <c r="AC173" s="375"/>
      <c r="AD173" s="375"/>
      <c r="AE173" s="375"/>
      <c r="AF173" s="375"/>
      <c r="AG173" s="375"/>
      <c r="AH173" s="375"/>
      <c r="AI173" s="375"/>
      <c r="AJ173" s="375"/>
      <c r="AK173" s="375"/>
      <c r="AL173" s="375"/>
      <c r="AM173" s="375"/>
      <c r="AN173" s="375"/>
    </row>
    <row r="174" spans="1:40" x14ac:dyDescent="0.35">
      <c r="A174" s="376" t="s">
        <v>8</v>
      </c>
      <c r="B174" s="376" t="s">
        <v>14</v>
      </c>
      <c r="C174" s="376" t="s">
        <v>13</v>
      </c>
      <c r="D174" s="376" t="s">
        <v>6</v>
      </c>
      <c r="E174" s="377" t="s">
        <v>0</v>
      </c>
      <c r="F174" s="378" t="s">
        <v>1</v>
      </c>
      <c r="G174" s="379" t="s">
        <v>2</v>
      </c>
      <c r="H174" s="380" t="s">
        <v>3</v>
      </c>
      <c r="I174" s="380" t="s">
        <v>4</v>
      </c>
      <c r="J174" s="609" t="s">
        <v>52</v>
      </c>
      <c r="K174" s="623"/>
      <c r="L174" s="623"/>
      <c r="M174" s="623"/>
      <c r="N174" s="390"/>
      <c r="O174" s="395" t="s">
        <v>181</v>
      </c>
      <c r="P174" s="382">
        <v>2024</v>
      </c>
      <c r="Q174" s="382">
        <v>2025</v>
      </c>
      <c r="R174" s="382">
        <v>2026</v>
      </c>
      <c r="S174" s="382">
        <v>2027</v>
      </c>
      <c r="T174" s="383">
        <v>2028</v>
      </c>
      <c r="U174" s="383">
        <v>2029</v>
      </c>
      <c r="V174" s="383">
        <v>2030</v>
      </c>
      <c r="W174" s="383">
        <v>2031</v>
      </c>
      <c r="X174" s="383">
        <v>2032</v>
      </c>
      <c r="Y174" s="383">
        <v>2033</v>
      </c>
      <c r="Z174" s="383">
        <v>2034</v>
      </c>
      <c r="AA174" s="383">
        <v>2035</v>
      </c>
      <c r="AC174" s="382">
        <v>2024</v>
      </c>
      <c r="AD174" s="382">
        <v>2025</v>
      </c>
      <c r="AE174" s="382">
        <v>2026</v>
      </c>
      <c r="AF174" s="382">
        <v>2027</v>
      </c>
      <c r="AG174" s="383">
        <v>2028</v>
      </c>
      <c r="AH174" s="383">
        <v>2029</v>
      </c>
      <c r="AI174" s="383">
        <v>2030</v>
      </c>
      <c r="AJ174" s="383">
        <v>2031</v>
      </c>
      <c r="AK174" s="383">
        <v>2032</v>
      </c>
      <c r="AL174" s="383">
        <v>2033</v>
      </c>
      <c r="AM174" s="383">
        <v>2034</v>
      </c>
      <c r="AN174" s="383">
        <v>2035</v>
      </c>
    </row>
    <row r="175" spans="1:40" x14ac:dyDescent="0.35">
      <c r="E175" s="396" t="s">
        <v>582</v>
      </c>
      <c r="F175" s="397"/>
      <c r="G175" s="397"/>
      <c r="H175" s="398"/>
      <c r="I175" s="399"/>
      <c r="J175" s="399">
        <f>SUM(J176:J182)</f>
        <v>591502.5</v>
      </c>
      <c r="K175" s="621">
        <f>SUM(K176:K182)</f>
        <v>424062.49999999994</v>
      </c>
      <c r="L175" s="621">
        <f>SUM(L176:L182)</f>
        <v>0</v>
      </c>
      <c r="M175" s="621">
        <f>SUM(M176:M182)</f>
        <v>167440</v>
      </c>
      <c r="O175" s="400"/>
      <c r="P175" s="400"/>
      <c r="Q175" s="400"/>
      <c r="R175" s="400"/>
      <c r="S175" s="400"/>
      <c r="T175" s="400"/>
      <c r="U175" s="400"/>
      <c r="V175" s="400"/>
      <c r="W175" s="400"/>
      <c r="X175" s="400"/>
      <c r="Y175" s="400"/>
      <c r="Z175" s="400"/>
      <c r="AA175" s="400"/>
      <c r="AC175" s="400"/>
      <c r="AD175" s="400"/>
      <c r="AE175" s="400"/>
      <c r="AF175" s="400"/>
      <c r="AG175" s="400"/>
      <c r="AH175" s="400"/>
      <c r="AI175" s="400"/>
      <c r="AJ175" s="400"/>
      <c r="AK175" s="400"/>
      <c r="AL175" s="400"/>
      <c r="AM175" s="400"/>
      <c r="AN175" s="400"/>
    </row>
    <row r="176" spans="1:40" x14ac:dyDescent="0.35">
      <c r="A176" s="401" t="s">
        <v>583</v>
      </c>
      <c r="B176" s="401" t="s">
        <v>15</v>
      </c>
      <c r="C176" s="401" t="s">
        <v>748</v>
      </c>
      <c r="D176" s="401" t="s">
        <v>434</v>
      </c>
      <c r="E176" s="161" t="s">
        <v>620</v>
      </c>
      <c r="F176" s="402" t="s">
        <v>585</v>
      </c>
      <c r="G176" s="403">
        <v>1</v>
      </c>
      <c r="H176" s="404">
        <v>21500</v>
      </c>
      <c r="I176" s="405">
        <f t="shared" ref="I176:I182" si="387">G176*H176</f>
        <v>21500</v>
      </c>
      <c r="J176" s="612">
        <f t="shared" ref="J176:J182" si="388">yld*I176</f>
        <v>24724.999999999996</v>
      </c>
      <c r="K176" s="608">
        <f t="shared" ref="K176:K182" si="389">J176-L176-M176</f>
        <v>24724.999999999996</v>
      </c>
      <c r="L176" s="608"/>
      <c r="M176" s="608"/>
      <c r="N176" s="406" t="s">
        <v>757</v>
      </c>
      <c r="O176" s="407">
        <v>15</v>
      </c>
      <c r="P176" s="408">
        <f>$J176</f>
        <v>24724.999999999996</v>
      </c>
      <c r="Q176" s="408"/>
      <c r="R176" s="408"/>
      <c r="S176" s="408"/>
      <c r="T176" s="408"/>
      <c r="U176" s="408"/>
      <c r="V176" s="408"/>
      <c r="W176" s="408"/>
      <c r="X176" s="408"/>
      <c r="Y176" s="408"/>
      <c r="Z176" s="408"/>
      <c r="AA176" s="408"/>
      <c r="AC176" s="632">
        <f t="shared" ref="AC176:AC182" si="390">IFERROR(P176*$K176/$J176,0)</f>
        <v>24724.999999999993</v>
      </c>
      <c r="AD176" s="632">
        <f t="shared" ref="AD176:AD182" si="391">IFERROR(Q176*$K176/$J176,0)</f>
        <v>0</v>
      </c>
      <c r="AE176" s="632">
        <f t="shared" ref="AE176:AE182" si="392">IFERROR(R176*$K176/$J176,0)</f>
        <v>0</v>
      </c>
      <c r="AF176" s="632">
        <f t="shared" ref="AF176:AF182" si="393">IFERROR(S176*$K176/$J176,0)</f>
        <v>0</v>
      </c>
      <c r="AG176" s="632">
        <f t="shared" ref="AG176:AG182" si="394">IFERROR(T176*$K176/$J176,0)</f>
        <v>0</v>
      </c>
      <c r="AH176" s="632">
        <f t="shared" ref="AH176:AH182" si="395">IFERROR(U176*$K176/$J176,0)</f>
        <v>0</v>
      </c>
      <c r="AI176" s="632">
        <f t="shared" ref="AI176:AI182" si="396">IFERROR(V176*$K176/$J176,0)</f>
        <v>0</v>
      </c>
      <c r="AJ176" s="632">
        <f t="shared" ref="AJ176:AJ182" si="397">IFERROR(W176*$K176/$J176,0)</f>
        <v>0</v>
      </c>
      <c r="AK176" s="632">
        <f t="shared" ref="AK176:AK182" si="398">IFERROR(X176*$K176/$J176,0)</f>
        <v>0</v>
      </c>
      <c r="AL176" s="632">
        <f t="shared" ref="AL176:AL182" si="399">IFERROR(Y176*$K176/$J176,0)</f>
        <v>0</v>
      </c>
      <c r="AM176" s="632">
        <f t="shared" ref="AM176:AM182" si="400">IFERROR(Z176*$K176/$J176,0)</f>
        <v>0</v>
      </c>
      <c r="AN176" s="632">
        <f t="shared" ref="AN176:AN182" si="401">IFERROR(AA176*$K176/$J176,0)</f>
        <v>0</v>
      </c>
    </row>
    <row r="177" spans="1:40" x14ac:dyDescent="0.35">
      <c r="A177" s="401" t="s">
        <v>583</v>
      </c>
      <c r="B177" s="401" t="s">
        <v>15</v>
      </c>
      <c r="C177" s="401" t="s">
        <v>748</v>
      </c>
      <c r="D177" s="401" t="s">
        <v>434</v>
      </c>
      <c r="E177" s="161" t="s">
        <v>951</v>
      </c>
      <c r="F177" s="402" t="s">
        <v>585</v>
      </c>
      <c r="G177" s="403">
        <v>1</v>
      </c>
      <c r="H177" s="404">
        <v>100000</v>
      </c>
      <c r="I177" s="405">
        <f t="shared" si="387"/>
        <v>100000</v>
      </c>
      <c r="J177" s="612">
        <f t="shared" si="388"/>
        <v>114999.99999999999</v>
      </c>
      <c r="K177" s="608">
        <f t="shared" ref="K177" si="402">J177-L177-M177</f>
        <v>114999.99999999999</v>
      </c>
      <c r="L177" s="608"/>
      <c r="M177" s="608"/>
      <c r="N177" s="406"/>
      <c r="O177" s="407">
        <v>15</v>
      </c>
      <c r="P177" s="408">
        <f>$J177</f>
        <v>114999.99999999999</v>
      </c>
      <c r="Q177" s="408"/>
      <c r="R177" s="408"/>
      <c r="S177" s="408"/>
      <c r="T177" s="408"/>
      <c r="U177" s="408"/>
      <c r="V177" s="408"/>
      <c r="W177" s="408"/>
      <c r="X177" s="408"/>
      <c r="Y177" s="408"/>
      <c r="Z177" s="408"/>
      <c r="AA177" s="408"/>
      <c r="AC177" s="632">
        <f t="shared" ref="AC177" si="403">IFERROR(P177*$K177/$J177,0)</f>
        <v>114999.99999999999</v>
      </c>
      <c r="AD177" s="632">
        <f t="shared" ref="AD177" si="404">IFERROR(Q177*$K177/$J177,0)</f>
        <v>0</v>
      </c>
      <c r="AE177" s="632">
        <f t="shared" ref="AE177" si="405">IFERROR(R177*$K177/$J177,0)</f>
        <v>0</v>
      </c>
      <c r="AF177" s="632">
        <f t="shared" ref="AF177" si="406">IFERROR(S177*$K177/$J177,0)</f>
        <v>0</v>
      </c>
      <c r="AG177" s="632">
        <f t="shared" ref="AG177" si="407">IFERROR(T177*$K177/$J177,0)</f>
        <v>0</v>
      </c>
      <c r="AH177" s="632">
        <f t="shared" ref="AH177" si="408">IFERROR(U177*$K177/$J177,0)</f>
        <v>0</v>
      </c>
      <c r="AI177" s="632">
        <f t="shared" ref="AI177" si="409">IFERROR(V177*$K177/$J177,0)</f>
        <v>0</v>
      </c>
      <c r="AJ177" s="632">
        <f t="shared" ref="AJ177" si="410">IFERROR(W177*$K177/$J177,0)</f>
        <v>0</v>
      </c>
      <c r="AK177" s="632">
        <f t="shared" ref="AK177" si="411">IFERROR(X177*$K177/$J177,0)</f>
        <v>0</v>
      </c>
      <c r="AL177" s="632">
        <f t="shared" ref="AL177" si="412">IFERROR(Y177*$K177/$J177,0)</f>
        <v>0</v>
      </c>
      <c r="AM177" s="632">
        <f t="shared" ref="AM177" si="413">IFERROR(Z177*$K177/$J177,0)</f>
        <v>0</v>
      </c>
      <c r="AN177" s="632">
        <f t="shared" ref="AN177" si="414">IFERROR(AA177*$K177/$J177,0)</f>
        <v>0</v>
      </c>
    </row>
    <row r="178" spans="1:40" x14ac:dyDescent="0.35">
      <c r="A178" s="401" t="s">
        <v>583</v>
      </c>
      <c r="B178" s="444" t="s">
        <v>15</v>
      </c>
      <c r="C178" s="444" t="s">
        <v>611</v>
      </c>
      <c r="D178" s="401" t="s">
        <v>434</v>
      </c>
      <c r="E178" s="161" t="s">
        <v>658</v>
      </c>
      <c r="F178" s="402" t="s">
        <v>585</v>
      </c>
      <c r="G178" s="403">
        <v>1</v>
      </c>
      <c r="H178" s="424">
        <v>75000</v>
      </c>
      <c r="I178" s="405">
        <f t="shared" si="387"/>
        <v>75000</v>
      </c>
      <c r="J178" s="612">
        <f t="shared" si="388"/>
        <v>86250</v>
      </c>
      <c r="K178" s="608">
        <f t="shared" si="389"/>
        <v>86250</v>
      </c>
      <c r="L178" s="608"/>
      <c r="M178" s="608"/>
      <c r="N178" s="406"/>
      <c r="O178" s="407">
        <v>15</v>
      </c>
      <c r="P178" s="408"/>
      <c r="Q178" s="408"/>
      <c r="R178" s="408"/>
      <c r="S178" s="408">
        <f>$J178</f>
        <v>86250</v>
      </c>
      <c r="T178" s="408"/>
      <c r="U178" s="408"/>
      <c r="V178" s="408"/>
      <c r="W178" s="408"/>
      <c r="X178" s="408"/>
      <c r="Y178" s="408"/>
      <c r="Z178" s="408"/>
      <c r="AA178" s="408"/>
      <c r="AC178" s="632">
        <f t="shared" si="390"/>
        <v>0</v>
      </c>
      <c r="AD178" s="632">
        <f t="shared" si="391"/>
        <v>0</v>
      </c>
      <c r="AE178" s="632">
        <f t="shared" si="392"/>
        <v>0</v>
      </c>
      <c r="AF178" s="632">
        <f t="shared" si="393"/>
        <v>86250</v>
      </c>
      <c r="AG178" s="632">
        <f t="shared" si="394"/>
        <v>0</v>
      </c>
      <c r="AH178" s="632">
        <f t="shared" si="395"/>
        <v>0</v>
      </c>
      <c r="AI178" s="632">
        <f t="shared" si="396"/>
        <v>0</v>
      </c>
      <c r="AJ178" s="632">
        <f t="shared" si="397"/>
        <v>0</v>
      </c>
      <c r="AK178" s="632">
        <f t="shared" si="398"/>
        <v>0</v>
      </c>
      <c r="AL178" s="632">
        <f t="shared" si="399"/>
        <v>0</v>
      </c>
      <c r="AM178" s="632">
        <f t="shared" si="400"/>
        <v>0</v>
      </c>
      <c r="AN178" s="632">
        <f t="shared" si="401"/>
        <v>0</v>
      </c>
    </row>
    <row r="179" spans="1:40" x14ac:dyDescent="0.35">
      <c r="A179" s="401" t="s">
        <v>583</v>
      </c>
      <c r="B179" s="401" t="s">
        <v>15</v>
      </c>
      <c r="C179" s="401" t="s">
        <v>745</v>
      </c>
      <c r="D179" s="401" t="s">
        <v>434</v>
      </c>
      <c r="E179" s="140" t="s">
        <v>760</v>
      </c>
      <c r="F179" s="402" t="s">
        <v>9</v>
      </c>
      <c r="G179" s="403">
        <v>145</v>
      </c>
      <c r="H179" s="404">
        <f>Ühikhinnad!$C$2</f>
        <v>130</v>
      </c>
      <c r="I179" s="405">
        <f t="shared" si="387"/>
        <v>18850</v>
      </c>
      <c r="J179" s="612">
        <f t="shared" si="388"/>
        <v>21677.5</v>
      </c>
      <c r="K179" s="608">
        <f t="shared" ref="K179:K181" si="415">J179-L179-M179</f>
        <v>21677.5</v>
      </c>
      <c r="L179" s="608"/>
      <c r="M179" s="608"/>
      <c r="N179" s="520"/>
      <c r="O179" s="407">
        <v>50</v>
      </c>
      <c r="P179" s="408"/>
      <c r="Q179" s="408">
        <f>$J179</f>
        <v>21677.5</v>
      </c>
      <c r="R179" s="408"/>
      <c r="S179" s="408"/>
      <c r="T179" s="408"/>
      <c r="U179" s="408"/>
      <c r="V179" s="408"/>
      <c r="W179" s="408"/>
      <c r="X179" s="408"/>
      <c r="Y179" s="408"/>
      <c r="Z179" s="408"/>
      <c r="AA179" s="408"/>
      <c r="AC179" s="632">
        <f t="shared" ref="AC179:AC181" si="416">IFERROR(P179*$K179/$J179,0)</f>
        <v>0</v>
      </c>
      <c r="AD179" s="632">
        <f t="shared" ref="AD179:AD181" si="417">IFERROR(Q179*$K179/$J179,0)</f>
        <v>21677.5</v>
      </c>
      <c r="AE179" s="632">
        <f t="shared" ref="AE179:AE181" si="418">IFERROR(R179*$K179/$J179,0)</f>
        <v>0</v>
      </c>
      <c r="AF179" s="632">
        <f t="shared" ref="AF179:AF181" si="419">IFERROR(S179*$K179/$J179,0)</f>
        <v>0</v>
      </c>
      <c r="AG179" s="632">
        <f t="shared" ref="AG179:AG181" si="420">IFERROR(T179*$K179/$J179,0)</f>
        <v>0</v>
      </c>
      <c r="AH179" s="632">
        <f t="shared" ref="AH179:AH181" si="421">IFERROR(U179*$K179/$J179,0)</f>
        <v>0</v>
      </c>
      <c r="AI179" s="632">
        <f t="shared" ref="AI179:AI181" si="422">IFERROR(V179*$K179/$J179,0)</f>
        <v>0</v>
      </c>
      <c r="AJ179" s="632">
        <f t="shared" ref="AJ179:AJ181" si="423">IFERROR(W179*$K179/$J179,0)</f>
        <v>0</v>
      </c>
      <c r="AK179" s="632">
        <f t="shared" ref="AK179:AK181" si="424">IFERROR(X179*$K179/$J179,0)</f>
        <v>0</v>
      </c>
      <c r="AL179" s="632">
        <f t="shared" ref="AL179:AL181" si="425">IFERROR(Y179*$K179/$J179,0)</f>
        <v>0</v>
      </c>
      <c r="AM179" s="632">
        <f t="shared" ref="AM179:AM181" si="426">IFERROR(Z179*$K179/$J179,0)</f>
        <v>0</v>
      </c>
      <c r="AN179" s="632">
        <f t="shared" ref="AN179:AN181" si="427">IFERROR(AA179*$K179/$J179,0)</f>
        <v>0</v>
      </c>
    </row>
    <row r="180" spans="1:40" x14ac:dyDescent="0.35">
      <c r="A180" s="401" t="s">
        <v>583</v>
      </c>
      <c r="B180" s="401" t="s">
        <v>15</v>
      </c>
      <c r="C180" s="401" t="s">
        <v>596</v>
      </c>
      <c r="D180" s="401" t="s">
        <v>434</v>
      </c>
      <c r="E180" s="140" t="s">
        <v>758</v>
      </c>
      <c r="F180" s="402" t="s">
        <v>9</v>
      </c>
      <c r="G180" s="403">
        <v>400</v>
      </c>
      <c r="H180" s="404">
        <f>Ühikhinnad!$C$2</f>
        <v>130</v>
      </c>
      <c r="I180" s="405">
        <f t="shared" ref="I180:I181" si="428">G180*H180</f>
        <v>52000</v>
      </c>
      <c r="J180" s="612">
        <f t="shared" ref="J180:J181" si="429">yld*I180</f>
        <v>59799.999999999993</v>
      </c>
      <c r="K180" s="608">
        <f t="shared" si="415"/>
        <v>59799.999999999993</v>
      </c>
      <c r="L180" s="608"/>
      <c r="M180" s="608"/>
      <c r="N180" s="520"/>
      <c r="O180" s="407">
        <v>50</v>
      </c>
      <c r="P180" s="408"/>
      <c r="Q180" s="408">
        <f>$J180</f>
        <v>59799.999999999993</v>
      </c>
      <c r="R180" s="408"/>
      <c r="S180" s="408"/>
      <c r="T180" s="408"/>
      <c r="U180" s="408"/>
      <c r="V180" s="408"/>
      <c r="W180" s="408"/>
      <c r="X180" s="408"/>
      <c r="Y180" s="408"/>
      <c r="Z180" s="408"/>
      <c r="AA180" s="408"/>
      <c r="AC180" s="632">
        <f t="shared" si="416"/>
        <v>0</v>
      </c>
      <c r="AD180" s="632">
        <f t="shared" si="417"/>
        <v>59799.999999999993</v>
      </c>
      <c r="AE180" s="632">
        <f t="shared" si="418"/>
        <v>0</v>
      </c>
      <c r="AF180" s="632">
        <f t="shared" si="419"/>
        <v>0</v>
      </c>
      <c r="AG180" s="632">
        <f t="shared" si="420"/>
        <v>0</v>
      </c>
      <c r="AH180" s="632">
        <f t="shared" si="421"/>
        <v>0</v>
      </c>
      <c r="AI180" s="632">
        <f t="shared" si="422"/>
        <v>0</v>
      </c>
      <c r="AJ180" s="632">
        <f t="shared" si="423"/>
        <v>0</v>
      </c>
      <c r="AK180" s="632">
        <f t="shared" si="424"/>
        <v>0</v>
      </c>
      <c r="AL180" s="632">
        <f t="shared" si="425"/>
        <v>0</v>
      </c>
      <c r="AM180" s="632">
        <f t="shared" si="426"/>
        <v>0</v>
      </c>
      <c r="AN180" s="632">
        <f t="shared" si="427"/>
        <v>0</v>
      </c>
    </row>
    <row r="181" spans="1:40" x14ac:dyDescent="0.35">
      <c r="A181" s="401" t="s">
        <v>583</v>
      </c>
      <c r="B181" s="401" t="s">
        <v>15</v>
      </c>
      <c r="C181" s="401" t="s">
        <v>596</v>
      </c>
      <c r="D181" s="401" t="s">
        <v>434</v>
      </c>
      <c r="E181" s="140" t="s">
        <v>759</v>
      </c>
      <c r="F181" s="402" t="s">
        <v>9</v>
      </c>
      <c r="G181" s="403">
        <v>780</v>
      </c>
      <c r="H181" s="404">
        <f>Ühikhinnad!$C$2</f>
        <v>130</v>
      </c>
      <c r="I181" s="405">
        <f t="shared" si="428"/>
        <v>101400</v>
      </c>
      <c r="J181" s="612">
        <f t="shared" si="429"/>
        <v>116609.99999999999</v>
      </c>
      <c r="K181" s="608">
        <f t="shared" si="415"/>
        <v>116609.99999999999</v>
      </c>
      <c r="L181" s="608"/>
      <c r="M181" s="608"/>
      <c r="N181" s="740" t="s">
        <v>1077</v>
      </c>
      <c r="O181" s="407">
        <v>50</v>
      </c>
      <c r="P181" s="408"/>
      <c r="Q181" s="408">
        <f>$J181</f>
        <v>116609.99999999999</v>
      </c>
      <c r="R181" s="408"/>
      <c r="S181" s="408"/>
      <c r="T181" s="408"/>
      <c r="U181" s="408"/>
      <c r="V181" s="408"/>
      <c r="W181" s="408"/>
      <c r="X181" s="408"/>
      <c r="Y181" s="408"/>
      <c r="Z181" s="408"/>
      <c r="AA181" s="408"/>
      <c r="AC181" s="632">
        <f t="shared" si="416"/>
        <v>0</v>
      </c>
      <c r="AD181" s="632">
        <f t="shared" si="417"/>
        <v>116609.99999999999</v>
      </c>
      <c r="AE181" s="632">
        <f t="shared" si="418"/>
        <v>0</v>
      </c>
      <c r="AF181" s="632">
        <f t="shared" si="419"/>
        <v>0</v>
      </c>
      <c r="AG181" s="632">
        <f t="shared" si="420"/>
        <v>0</v>
      </c>
      <c r="AH181" s="632">
        <f t="shared" si="421"/>
        <v>0</v>
      </c>
      <c r="AI181" s="632">
        <f t="shared" si="422"/>
        <v>0</v>
      </c>
      <c r="AJ181" s="632">
        <f t="shared" si="423"/>
        <v>0</v>
      </c>
      <c r="AK181" s="632">
        <f t="shared" si="424"/>
        <v>0</v>
      </c>
      <c r="AL181" s="632">
        <f t="shared" si="425"/>
        <v>0</v>
      </c>
      <c r="AM181" s="632">
        <f t="shared" si="426"/>
        <v>0</v>
      </c>
      <c r="AN181" s="632">
        <f t="shared" si="427"/>
        <v>0</v>
      </c>
    </row>
    <row r="182" spans="1:40" s="439" customFormat="1" x14ac:dyDescent="0.35">
      <c r="A182" s="742" t="s">
        <v>583</v>
      </c>
      <c r="B182" s="742" t="s">
        <v>15</v>
      </c>
      <c r="C182" s="742" t="s">
        <v>745</v>
      </c>
      <c r="D182" s="742" t="s">
        <v>434</v>
      </c>
      <c r="E182" s="527" t="s">
        <v>1079</v>
      </c>
      <c r="F182" s="743" t="s">
        <v>9</v>
      </c>
      <c r="G182" s="744">
        <v>1820</v>
      </c>
      <c r="H182" s="745">
        <f>Ühikhinnad!C3</f>
        <v>80</v>
      </c>
      <c r="I182" s="746">
        <f t="shared" si="387"/>
        <v>145600</v>
      </c>
      <c r="J182" s="615">
        <f t="shared" si="388"/>
        <v>167440</v>
      </c>
      <c r="K182" s="747">
        <f t="shared" si="389"/>
        <v>0</v>
      </c>
      <c r="L182" s="747"/>
      <c r="M182" s="747">
        <f t="shared" ref="M182" si="430">(1-N182)*J182</f>
        <v>167440</v>
      </c>
      <c r="N182" s="741">
        <v>0</v>
      </c>
      <c r="O182" s="748">
        <v>50</v>
      </c>
      <c r="P182" s="749"/>
      <c r="Q182" s="749">
        <f>$J182</f>
        <v>167440</v>
      </c>
      <c r="R182" s="749"/>
      <c r="S182" s="749"/>
      <c r="T182" s="749"/>
      <c r="U182" s="749"/>
      <c r="V182" s="749"/>
      <c r="W182" s="749"/>
      <c r="X182" s="749"/>
      <c r="Y182" s="749"/>
      <c r="Z182" s="749"/>
      <c r="AA182" s="749"/>
      <c r="AC182" s="749">
        <f t="shared" si="390"/>
        <v>0</v>
      </c>
      <c r="AD182" s="749">
        <f t="shared" si="391"/>
        <v>0</v>
      </c>
      <c r="AE182" s="749">
        <f t="shared" si="392"/>
        <v>0</v>
      </c>
      <c r="AF182" s="749">
        <f t="shared" si="393"/>
        <v>0</v>
      </c>
      <c r="AG182" s="749">
        <f t="shared" si="394"/>
        <v>0</v>
      </c>
      <c r="AH182" s="749">
        <f t="shared" si="395"/>
        <v>0</v>
      </c>
      <c r="AI182" s="749">
        <f t="shared" si="396"/>
        <v>0</v>
      </c>
      <c r="AJ182" s="749">
        <f t="shared" si="397"/>
        <v>0</v>
      </c>
      <c r="AK182" s="749">
        <f t="shared" si="398"/>
        <v>0</v>
      </c>
      <c r="AL182" s="749">
        <f t="shared" si="399"/>
        <v>0</v>
      </c>
      <c r="AM182" s="749">
        <f t="shared" si="400"/>
        <v>0</v>
      </c>
      <c r="AN182" s="749">
        <f t="shared" si="401"/>
        <v>0</v>
      </c>
    </row>
    <row r="183" spans="1:40" s="390" customFormat="1" x14ac:dyDescent="0.35">
      <c r="A183" s="370"/>
      <c r="B183" s="370"/>
      <c r="C183" s="370"/>
      <c r="D183" s="370"/>
      <c r="E183" s="410" t="s">
        <v>588</v>
      </c>
      <c r="F183" s="428"/>
      <c r="G183" s="428"/>
      <c r="H183" s="429"/>
      <c r="I183" s="430"/>
      <c r="J183" s="413">
        <f>SUM(J184:J193)</f>
        <v>1000780</v>
      </c>
      <c r="K183" s="622">
        <f>SUM(K184:K193)</f>
        <v>522445</v>
      </c>
      <c r="L183" s="622">
        <f>SUM(L184:L193)</f>
        <v>15000</v>
      </c>
      <c r="M183" s="622">
        <f>SUM(M184:M193)</f>
        <v>463335</v>
      </c>
      <c r="N183" s="375"/>
      <c r="O183" s="431"/>
      <c r="P183" s="431"/>
      <c r="Q183" s="431"/>
      <c r="R183" s="431"/>
      <c r="S183" s="431"/>
      <c r="T183" s="431"/>
      <c r="U183" s="431"/>
      <c r="V183" s="431"/>
      <c r="W183" s="431"/>
      <c r="X183" s="431"/>
      <c r="Y183" s="431"/>
      <c r="Z183" s="431"/>
      <c r="AA183" s="431"/>
      <c r="AB183" s="375"/>
      <c r="AC183" s="431"/>
      <c r="AD183" s="431"/>
      <c r="AE183" s="431"/>
      <c r="AF183" s="431"/>
      <c r="AG183" s="431"/>
      <c r="AH183" s="431"/>
      <c r="AI183" s="431"/>
      <c r="AJ183" s="431"/>
      <c r="AK183" s="431"/>
      <c r="AL183" s="431"/>
      <c r="AM183" s="431"/>
      <c r="AN183" s="431"/>
    </row>
    <row r="184" spans="1:40" ht="10.75" customHeight="1" x14ac:dyDescent="0.35">
      <c r="A184" s="401" t="s">
        <v>583</v>
      </c>
      <c r="B184" s="401" t="s">
        <v>17</v>
      </c>
      <c r="C184" s="401" t="s">
        <v>753</v>
      </c>
      <c r="D184" s="401" t="s">
        <v>434</v>
      </c>
      <c r="E184" s="161" t="s">
        <v>621</v>
      </c>
      <c r="F184" s="432" t="s">
        <v>585</v>
      </c>
      <c r="G184" s="433">
        <v>1</v>
      </c>
      <c r="H184" s="417">
        <f>Ühikhinnad!$C$10</f>
        <v>10000</v>
      </c>
      <c r="I184" s="405">
        <f t="shared" ref="I184:I193" si="431">G184*H184</f>
        <v>10000</v>
      </c>
      <c r="J184" s="612">
        <f>yld*I184</f>
        <v>11500</v>
      </c>
      <c r="K184" s="608">
        <f t="shared" ref="K184:K193" si="432">J184-L184-M184</f>
        <v>11500</v>
      </c>
      <c r="L184" s="608"/>
      <c r="M184" s="608"/>
      <c r="O184" s="407">
        <v>15</v>
      </c>
      <c r="P184" s="408"/>
      <c r="Q184" s="408">
        <f>$J184</f>
        <v>11500</v>
      </c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C184" s="632">
        <f t="shared" ref="AC184:AC193" si="433">IFERROR(P184*$K184/$J184,0)</f>
        <v>0</v>
      </c>
      <c r="AD184" s="632">
        <f t="shared" ref="AD184:AD193" si="434">IFERROR(Q184*$K184/$J184,0)</f>
        <v>11500</v>
      </c>
      <c r="AE184" s="632">
        <f t="shared" ref="AE184:AE193" si="435">IFERROR(R184*$K184/$J184,0)</f>
        <v>0</v>
      </c>
      <c r="AF184" s="632">
        <f t="shared" ref="AF184:AF193" si="436">IFERROR(S184*$K184/$J184,0)</f>
        <v>0</v>
      </c>
      <c r="AG184" s="632">
        <f t="shared" ref="AG184:AG193" si="437">IFERROR(T184*$K184/$J184,0)</f>
        <v>0</v>
      </c>
      <c r="AH184" s="632">
        <f t="shared" ref="AH184:AH193" si="438">IFERROR(U184*$K184/$J184,0)</f>
        <v>0</v>
      </c>
      <c r="AI184" s="632">
        <f t="shared" ref="AI184:AI193" si="439">IFERROR(V184*$K184/$J184,0)</f>
        <v>0</v>
      </c>
      <c r="AJ184" s="632">
        <f t="shared" ref="AJ184:AJ193" si="440">IFERROR(W184*$K184/$J184,0)</f>
        <v>0</v>
      </c>
      <c r="AK184" s="632">
        <f t="shared" ref="AK184:AK193" si="441">IFERROR(X184*$K184/$J184,0)</f>
        <v>0</v>
      </c>
      <c r="AL184" s="632">
        <f t="shared" ref="AL184:AL193" si="442">IFERROR(Y184*$K184/$J184,0)</f>
        <v>0</v>
      </c>
      <c r="AM184" s="632">
        <f t="shared" ref="AM184:AM193" si="443">IFERROR(Z184*$K184/$J184,0)</f>
        <v>0</v>
      </c>
      <c r="AN184" s="632">
        <f t="shared" ref="AN184:AN193" si="444">IFERROR(AA184*$K184/$J184,0)</f>
        <v>0</v>
      </c>
    </row>
    <row r="185" spans="1:40" ht="10.75" customHeight="1" x14ac:dyDescent="0.35">
      <c r="A185" s="401" t="s">
        <v>583</v>
      </c>
      <c r="B185" s="401" t="s">
        <v>17</v>
      </c>
      <c r="C185" s="401" t="s">
        <v>753</v>
      </c>
      <c r="D185" s="401" t="s">
        <v>434</v>
      </c>
      <c r="E185" s="161" t="s">
        <v>622</v>
      </c>
      <c r="F185" s="432" t="s">
        <v>585</v>
      </c>
      <c r="G185" s="433">
        <v>1</v>
      </c>
      <c r="H185" s="417">
        <f>Ühikhinnad!$C$10</f>
        <v>10000</v>
      </c>
      <c r="I185" s="405">
        <f t="shared" si="431"/>
        <v>10000</v>
      </c>
      <c r="J185" s="612">
        <f>yld*I185</f>
        <v>11500</v>
      </c>
      <c r="K185" s="608">
        <f t="shared" si="432"/>
        <v>11500</v>
      </c>
      <c r="L185" s="608"/>
      <c r="M185" s="608"/>
      <c r="O185" s="407">
        <v>15</v>
      </c>
      <c r="P185" s="408"/>
      <c r="Q185" s="408"/>
      <c r="R185" s="408"/>
      <c r="S185" s="408">
        <f>$J185</f>
        <v>11500</v>
      </c>
      <c r="T185" s="408"/>
      <c r="U185" s="408"/>
      <c r="V185" s="408"/>
      <c r="W185" s="408"/>
      <c r="X185" s="408"/>
      <c r="Y185" s="408"/>
      <c r="Z185" s="408"/>
      <c r="AA185" s="408"/>
      <c r="AC185" s="632">
        <f t="shared" si="433"/>
        <v>0</v>
      </c>
      <c r="AD185" s="632">
        <f t="shared" si="434"/>
        <v>0</v>
      </c>
      <c r="AE185" s="632">
        <f t="shared" si="435"/>
        <v>0</v>
      </c>
      <c r="AF185" s="632">
        <f t="shared" si="436"/>
        <v>11500</v>
      </c>
      <c r="AG185" s="632">
        <f t="shared" si="437"/>
        <v>0</v>
      </c>
      <c r="AH185" s="632">
        <f t="shared" si="438"/>
        <v>0</v>
      </c>
      <c r="AI185" s="632">
        <f t="shared" si="439"/>
        <v>0</v>
      </c>
      <c r="AJ185" s="632">
        <f t="shared" si="440"/>
        <v>0</v>
      </c>
      <c r="AK185" s="632">
        <f t="shared" si="441"/>
        <v>0</v>
      </c>
      <c r="AL185" s="632">
        <f t="shared" si="442"/>
        <v>0</v>
      </c>
      <c r="AM185" s="632">
        <f t="shared" si="443"/>
        <v>0</v>
      </c>
      <c r="AN185" s="632">
        <f t="shared" si="444"/>
        <v>0</v>
      </c>
    </row>
    <row r="186" spans="1:40" x14ac:dyDescent="0.35">
      <c r="A186" s="401" t="s">
        <v>583</v>
      </c>
      <c r="B186" s="401" t="s">
        <v>17</v>
      </c>
      <c r="C186" s="401" t="s">
        <v>753</v>
      </c>
      <c r="D186" s="401" t="s">
        <v>434</v>
      </c>
      <c r="E186" s="161" t="s">
        <v>623</v>
      </c>
      <c r="F186" s="432" t="s">
        <v>585</v>
      </c>
      <c r="G186" s="433">
        <v>1</v>
      </c>
      <c r="H186" s="417">
        <f>Ühikhinnad!$C$10</f>
        <v>10000</v>
      </c>
      <c r="I186" s="405">
        <f t="shared" si="431"/>
        <v>10000</v>
      </c>
      <c r="J186" s="612">
        <f>yld*I186</f>
        <v>11500</v>
      </c>
      <c r="K186" s="608">
        <f t="shared" si="432"/>
        <v>11500</v>
      </c>
      <c r="L186" s="608"/>
      <c r="M186" s="608"/>
      <c r="O186" s="407">
        <v>15</v>
      </c>
      <c r="P186" s="408">
        <f>$J186</f>
        <v>11500</v>
      </c>
      <c r="Q186" s="408"/>
      <c r="R186" s="408"/>
      <c r="S186" s="408"/>
      <c r="T186" s="408"/>
      <c r="U186" s="408"/>
      <c r="V186" s="408"/>
      <c r="W186" s="408"/>
      <c r="X186" s="408"/>
      <c r="Y186" s="408"/>
      <c r="Z186" s="408"/>
      <c r="AA186" s="408"/>
      <c r="AC186" s="632">
        <f t="shared" si="433"/>
        <v>11500</v>
      </c>
      <c r="AD186" s="632">
        <f t="shared" si="434"/>
        <v>0</v>
      </c>
      <c r="AE186" s="632">
        <f t="shared" si="435"/>
        <v>0</v>
      </c>
      <c r="AF186" s="632">
        <f t="shared" si="436"/>
        <v>0</v>
      </c>
      <c r="AG186" s="632">
        <f t="shared" si="437"/>
        <v>0</v>
      </c>
      <c r="AH186" s="632">
        <f t="shared" si="438"/>
        <v>0</v>
      </c>
      <c r="AI186" s="632">
        <f t="shared" si="439"/>
        <v>0</v>
      </c>
      <c r="AJ186" s="632">
        <f t="shared" si="440"/>
        <v>0</v>
      </c>
      <c r="AK186" s="632">
        <f t="shared" si="441"/>
        <v>0</v>
      </c>
      <c r="AL186" s="632">
        <f t="shared" si="442"/>
        <v>0</v>
      </c>
      <c r="AM186" s="632">
        <f t="shared" si="443"/>
        <v>0</v>
      </c>
      <c r="AN186" s="632">
        <f t="shared" si="444"/>
        <v>0</v>
      </c>
    </row>
    <row r="187" spans="1:40" x14ac:dyDescent="0.35">
      <c r="A187" s="401" t="s">
        <v>583</v>
      </c>
      <c r="B187" s="444" t="s">
        <v>18</v>
      </c>
      <c r="C187" s="444" t="s">
        <v>18</v>
      </c>
      <c r="D187" s="401" t="s">
        <v>434</v>
      </c>
      <c r="E187" s="427" t="s">
        <v>1074</v>
      </c>
      <c r="F187" s="440" t="s">
        <v>585</v>
      </c>
      <c r="G187" s="438">
        <v>1</v>
      </c>
      <c r="H187" s="424">
        <v>15000</v>
      </c>
      <c r="I187" s="737">
        <f t="shared" ref="I187:I188" si="445">G187*H187</f>
        <v>15000</v>
      </c>
      <c r="J187" s="738">
        <f>I187</f>
        <v>15000</v>
      </c>
      <c r="K187" s="739">
        <f t="shared" ref="K187:K188" si="446">J187-L187-M187</f>
        <v>0</v>
      </c>
      <c r="L187" s="739">
        <f>J187</f>
        <v>15000</v>
      </c>
      <c r="M187" s="608"/>
      <c r="N187" s="740" t="s">
        <v>1077</v>
      </c>
      <c r="O187" s="407">
        <v>15</v>
      </c>
      <c r="P187" s="408">
        <f>$J187</f>
        <v>15000</v>
      </c>
      <c r="Q187" s="408"/>
      <c r="R187" s="408"/>
      <c r="S187" s="408"/>
      <c r="T187" s="408"/>
      <c r="U187" s="408"/>
      <c r="V187" s="408"/>
      <c r="W187" s="408"/>
      <c r="X187" s="408"/>
      <c r="Y187" s="408"/>
      <c r="Z187" s="408"/>
      <c r="AA187" s="408"/>
      <c r="AC187" s="632">
        <f t="shared" ref="AC187:AC188" si="447">IFERROR(P187*$K187/$J187,0)</f>
        <v>0</v>
      </c>
      <c r="AD187" s="632">
        <f t="shared" ref="AD187:AD188" si="448">IFERROR(Q187*$K187/$J187,0)</f>
        <v>0</v>
      </c>
      <c r="AE187" s="632">
        <f t="shared" ref="AE187:AE188" si="449">IFERROR(R187*$K187/$J187,0)</f>
        <v>0</v>
      </c>
      <c r="AF187" s="632">
        <f t="shared" ref="AF187:AF188" si="450">IFERROR(S187*$K187/$J187,0)</f>
        <v>0</v>
      </c>
      <c r="AG187" s="632">
        <f t="shared" ref="AG187:AG188" si="451">IFERROR(T187*$K187/$J187,0)</f>
        <v>0</v>
      </c>
      <c r="AH187" s="632">
        <f t="shared" ref="AH187:AH188" si="452">IFERROR(U187*$K187/$J187,0)</f>
        <v>0</v>
      </c>
      <c r="AI187" s="632">
        <f t="shared" ref="AI187:AI188" si="453">IFERROR(V187*$K187/$J187,0)</f>
        <v>0</v>
      </c>
      <c r="AJ187" s="632">
        <f t="shared" ref="AJ187:AJ188" si="454">IFERROR(W187*$K187/$J187,0)</f>
        <v>0</v>
      </c>
      <c r="AK187" s="632">
        <f t="shared" ref="AK187:AK188" si="455">IFERROR(X187*$K187/$J187,0)</f>
        <v>0</v>
      </c>
      <c r="AL187" s="632">
        <f t="shared" ref="AL187:AL188" si="456">IFERROR(Y187*$K187/$J187,0)</f>
        <v>0</v>
      </c>
      <c r="AM187" s="632">
        <f t="shared" ref="AM187:AM188" si="457">IFERROR(Z187*$K187/$J187,0)</f>
        <v>0</v>
      </c>
      <c r="AN187" s="632">
        <f t="shared" ref="AN187:AN188" si="458">IFERROR(AA187*$K187/$J187,0)</f>
        <v>0</v>
      </c>
    </row>
    <row r="188" spans="1:40" x14ac:dyDescent="0.35">
      <c r="A188" s="401" t="s">
        <v>583</v>
      </c>
      <c r="B188" s="401" t="s">
        <v>17</v>
      </c>
      <c r="C188" s="401" t="s">
        <v>753</v>
      </c>
      <c r="D188" s="401" t="s">
        <v>434</v>
      </c>
      <c r="E188" s="527" t="s">
        <v>1062</v>
      </c>
      <c r="F188" s="432" t="s">
        <v>585</v>
      </c>
      <c r="G188" s="433">
        <v>1</v>
      </c>
      <c r="H188" s="417">
        <f>Ühikhinnad!$C$18+90000+100000</f>
        <v>375250</v>
      </c>
      <c r="I188" s="405">
        <f t="shared" si="445"/>
        <v>375250</v>
      </c>
      <c r="J188" s="615">
        <f t="shared" ref="J188:J193" si="459">yld*I188</f>
        <v>431537.49999999994</v>
      </c>
      <c r="K188" s="747">
        <f t="shared" si="446"/>
        <v>215768.74999999997</v>
      </c>
      <c r="L188" s="747"/>
      <c r="M188" s="747">
        <f t="shared" ref="M188" si="460">(1-N188)*J188</f>
        <v>215768.74999999997</v>
      </c>
      <c r="N188" s="741">
        <v>0.5</v>
      </c>
      <c r="O188" s="407">
        <v>25</v>
      </c>
      <c r="P188" s="408"/>
      <c r="Q188" s="408"/>
      <c r="R188" s="408"/>
      <c r="S188" s="408">
        <f t="shared" ref="S188:S193" si="461">$J188</f>
        <v>431537.49999999994</v>
      </c>
      <c r="T188" s="408"/>
      <c r="U188" s="408"/>
      <c r="V188" s="408"/>
      <c r="W188" s="408"/>
      <c r="X188" s="408"/>
      <c r="Y188" s="408"/>
      <c r="Z188" s="408"/>
      <c r="AA188" s="408"/>
      <c r="AC188" s="632">
        <f t="shared" si="447"/>
        <v>0</v>
      </c>
      <c r="AD188" s="632">
        <f t="shared" si="448"/>
        <v>0</v>
      </c>
      <c r="AE188" s="632">
        <f t="shared" si="449"/>
        <v>0</v>
      </c>
      <c r="AF188" s="632">
        <f t="shared" si="450"/>
        <v>215768.74999999997</v>
      </c>
      <c r="AG188" s="632">
        <f t="shared" si="451"/>
        <v>0</v>
      </c>
      <c r="AH188" s="632">
        <f t="shared" si="452"/>
        <v>0</v>
      </c>
      <c r="AI188" s="632">
        <f t="shared" si="453"/>
        <v>0</v>
      </c>
      <c r="AJ188" s="632">
        <f t="shared" si="454"/>
        <v>0</v>
      </c>
      <c r="AK188" s="632">
        <f t="shared" si="455"/>
        <v>0</v>
      </c>
      <c r="AL188" s="632">
        <f t="shared" si="456"/>
        <v>0</v>
      </c>
      <c r="AM188" s="632">
        <f t="shared" si="457"/>
        <v>0</v>
      </c>
      <c r="AN188" s="632">
        <f t="shared" si="458"/>
        <v>0</v>
      </c>
    </row>
    <row r="189" spans="1:40" x14ac:dyDescent="0.35">
      <c r="A189" s="401" t="s">
        <v>583</v>
      </c>
      <c r="B189" s="401" t="s">
        <v>17</v>
      </c>
      <c r="C189" s="401" t="s">
        <v>614</v>
      </c>
      <c r="D189" s="401" t="s">
        <v>434</v>
      </c>
      <c r="E189" s="527" t="s">
        <v>762</v>
      </c>
      <c r="F189" s="432" t="s">
        <v>9</v>
      </c>
      <c r="G189" s="433">
        <v>20</v>
      </c>
      <c r="H189" s="434">
        <f>Ühikhinnad!$C$4</f>
        <v>160</v>
      </c>
      <c r="I189" s="405">
        <f t="shared" si="431"/>
        <v>3200</v>
      </c>
      <c r="J189" s="615">
        <f t="shared" si="459"/>
        <v>3679.9999999999995</v>
      </c>
      <c r="K189" s="747">
        <f t="shared" si="432"/>
        <v>3679.9999999999995</v>
      </c>
      <c r="L189" s="747"/>
      <c r="M189" s="747">
        <f>(1-N189)*J189</f>
        <v>0</v>
      </c>
      <c r="N189" s="741">
        <v>1</v>
      </c>
      <c r="O189" s="407">
        <v>50</v>
      </c>
      <c r="P189" s="408"/>
      <c r="Q189" s="408"/>
      <c r="R189" s="408"/>
      <c r="S189" s="408">
        <f t="shared" si="461"/>
        <v>3679.9999999999995</v>
      </c>
      <c r="T189" s="408"/>
      <c r="U189" s="408"/>
      <c r="V189" s="408"/>
      <c r="W189" s="408"/>
      <c r="X189" s="408"/>
      <c r="Y189" s="408"/>
      <c r="Z189" s="408"/>
      <c r="AA189" s="408"/>
      <c r="AC189" s="632">
        <f t="shared" si="433"/>
        <v>0</v>
      </c>
      <c r="AD189" s="632">
        <f t="shared" si="434"/>
        <v>0</v>
      </c>
      <c r="AE189" s="632">
        <f t="shared" si="435"/>
        <v>0</v>
      </c>
      <c r="AF189" s="632">
        <f t="shared" si="436"/>
        <v>3679.9999999999995</v>
      </c>
      <c r="AG189" s="632">
        <f t="shared" si="437"/>
        <v>0</v>
      </c>
      <c r="AH189" s="632">
        <f t="shared" si="438"/>
        <v>0</v>
      </c>
      <c r="AI189" s="632">
        <f t="shared" si="439"/>
        <v>0</v>
      </c>
      <c r="AJ189" s="632">
        <f t="shared" si="440"/>
        <v>0</v>
      </c>
      <c r="AK189" s="632">
        <f t="shared" si="441"/>
        <v>0</v>
      </c>
      <c r="AL189" s="632">
        <f t="shared" si="442"/>
        <v>0</v>
      </c>
      <c r="AM189" s="632">
        <f t="shared" si="443"/>
        <v>0</v>
      </c>
      <c r="AN189" s="632">
        <f t="shared" si="444"/>
        <v>0</v>
      </c>
    </row>
    <row r="190" spans="1:40" x14ac:dyDescent="0.35">
      <c r="A190" s="401" t="s">
        <v>583</v>
      </c>
      <c r="B190" s="401" t="s">
        <v>17</v>
      </c>
      <c r="C190" s="401" t="s">
        <v>614</v>
      </c>
      <c r="D190" s="401" t="s">
        <v>434</v>
      </c>
      <c r="E190" s="527" t="s">
        <v>1076</v>
      </c>
      <c r="F190" s="432" t="s">
        <v>9</v>
      </c>
      <c r="G190" s="433">
        <v>140</v>
      </c>
      <c r="H190" s="404">
        <f>Ühikhinnad!$C$5</f>
        <v>130</v>
      </c>
      <c r="I190" s="405">
        <f t="shared" si="431"/>
        <v>18200</v>
      </c>
      <c r="J190" s="615">
        <f t="shared" si="459"/>
        <v>20930</v>
      </c>
      <c r="K190" s="747">
        <f t="shared" si="432"/>
        <v>20930</v>
      </c>
      <c r="L190" s="747"/>
      <c r="M190" s="747">
        <f t="shared" ref="M190:M193" si="462">(1-N190)*J190</f>
        <v>0</v>
      </c>
      <c r="N190" s="741">
        <v>1</v>
      </c>
      <c r="O190" s="407">
        <v>50</v>
      </c>
      <c r="P190" s="408"/>
      <c r="Q190" s="408"/>
      <c r="R190" s="408"/>
      <c r="S190" s="408">
        <f t="shared" si="461"/>
        <v>20930</v>
      </c>
      <c r="T190" s="408"/>
      <c r="U190" s="408"/>
      <c r="V190" s="408"/>
      <c r="W190" s="408"/>
      <c r="X190" s="408"/>
      <c r="Y190" s="408"/>
      <c r="Z190" s="408"/>
      <c r="AA190" s="408"/>
      <c r="AC190" s="632">
        <f t="shared" si="433"/>
        <v>0</v>
      </c>
      <c r="AD190" s="632">
        <f t="shared" si="434"/>
        <v>0</v>
      </c>
      <c r="AE190" s="632">
        <f t="shared" si="435"/>
        <v>0</v>
      </c>
      <c r="AF190" s="632">
        <f t="shared" si="436"/>
        <v>20930</v>
      </c>
      <c r="AG190" s="632">
        <f t="shared" si="437"/>
        <v>0</v>
      </c>
      <c r="AH190" s="632">
        <f t="shared" si="438"/>
        <v>0</v>
      </c>
      <c r="AI190" s="632">
        <f t="shared" si="439"/>
        <v>0</v>
      </c>
      <c r="AJ190" s="632">
        <f t="shared" si="440"/>
        <v>0</v>
      </c>
      <c r="AK190" s="632">
        <f t="shared" si="441"/>
        <v>0</v>
      </c>
      <c r="AL190" s="632">
        <f t="shared" si="442"/>
        <v>0</v>
      </c>
      <c r="AM190" s="632">
        <f t="shared" si="443"/>
        <v>0</v>
      </c>
      <c r="AN190" s="632">
        <f t="shared" si="444"/>
        <v>0</v>
      </c>
    </row>
    <row r="191" spans="1:40" x14ac:dyDescent="0.35">
      <c r="A191" s="401" t="s">
        <v>583</v>
      </c>
      <c r="B191" s="401" t="s">
        <v>17</v>
      </c>
      <c r="C191" s="401" t="s">
        <v>614</v>
      </c>
      <c r="D191" s="401" t="s">
        <v>434</v>
      </c>
      <c r="E191" s="527" t="s">
        <v>1075</v>
      </c>
      <c r="F191" s="432" t="s">
        <v>9</v>
      </c>
      <c r="G191" s="433">
        <v>2450</v>
      </c>
      <c r="H191" s="404">
        <f>Ühikhinnad!$C$5</f>
        <v>130</v>
      </c>
      <c r="I191" s="405">
        <f t="shared" ref="I191" si="463">G191*H191</f>
        <v>318500</v>
      </c>
      <c r="J191" s="615">
        <f t="shared" si="459"/>
        <v>366275</v>
      </c>
      <c r="K191" s="747">
        <f t="shared" ref="K191" si="464">J191-L191-M191</f>
        <v>183137.5</v>
      </c>
      <c r="L191" s="747"/>
      <c r="M191" s="747">
        <f t="shared" si="462"/>
        <v>183137.5</v>
      </c>
      <c r="N191" s="741">
        <v>0.5</v>
      </c>
      <c r="O191" s="407">
        <v>50</v>
      </c>
      <c r="P191" s="408"/>
      <c r="Q191" s="408"/>
      <c r="R191" s="408"/>
      <c r="S191" s="408">
        <f t="shared" si="461"/>
        <v>366275</v>
      </c>
      <c r="T191" s="408"/>
      <c r="U191" s="408"/>
      <c r="V191" s="408"/>
      <c r="W191" s="408"/>
      <c r="X191" s="408"/>
      <c r="Y191" s="408"/>
      <c r="Z191" s="408"/>
      <c r="AA191" s="408"/>
      <c r="AC191" s="632">
        <f t="shared" ref="AC191" si="465">IFERROR(P191*$K191/$J191,0)</f>
        <v>0</v>
      </c>
      <c r="AD191" s="632">
        <f t="shared" ref="AD191" si="466">IFERROR(Q191*$K191/$J191,0)</f>
        <v>0</v>
      </c>
      <c r="AE191" s="632">
        <f t="shared" ref="AE191" si="467">IFERROR(R191*$K191/$J191,0)</f>
        <v>0</v>
      </c>
      <c r="AF191" s="632">
        <f t="shared" ref="AF191" si="468">IFERROR(S191*$K191/$J191,0)</f>
        <v>183137.5</v>
      </c>
      <c r="AG191" s="632">
        <f t="shared" ref="AG191" si="469">IFERROR(T191*$K191/$J191,0)</f>
        <v>0</v>
      </c>
      <c r="AH191" s="632">
        <f t="shared" ref="AH191" si="470">IFERROR(U191*$K191/$J191,0)</f>
        <v>0</v>
      </c>
      <c r="AI191" s="632">
        <f t="shared" ref="AI191" si="471">IFERROR(V191*$K191/$J191,0)</f>
        <v>0</v>
      </c>
      <c r="AJ191" s="632">
        <f t="shared" ref="AJ191" si="472">IFERROR(W191*$K191/$J191,0)</f>
        <v>0</v>
      </c>
      <c r="AK191" s="632">
        <f t="shared" ref="AK191" si="473">IFERROR(X191*$K191/$J191,0)</f>
        <v>0</v>
      </c>
      <c r="AL191" s="632">
        <f t="shared" ref="AL191" si="474">IFERROR(Y191*$K191/$J191,0)</f>
        <v>0</v>
      </c>
      <c r="AM191" s="632">
        <f t="shared" ref="AM191" si="475">IFERROR(Z191*$K191/$J191,0)</f>
        <v>0</v>
      </c>
      <c r="AN191" s="632">
        <f t="shared" ref="AN191" si="476">IFERROR(AA191*$K191/$J191,0)</f>
        <v>0</v>
      </c>
    </row>
    <row r="192" spans="1:40" x14ac:dyDescent="0.35">
      <c r="A192" s="401" t="s">
        <v>583</v>
      </c>
      <c r="B192" s="401" t="s">
        <v>17</v>
      </c>
      <c r="C192" s="401" t="s">
        <v>614</v>
      </c>
      <c r="D192" s="401" t="s">
        <v>434</v>
      </c>
      <c r="E192" s="527" t="s">
        <v>1078</v>
      </c>
      <c r="F192" s="432" t="s">
        <v>9</v>
      </c>
      <c r="G192" s="433">
        <v>285</v>
      </c>
      <c r="H192" s="404">
        <f>Ühikhinnad!$C$5</f>
        <v>130</v>
      </c>
      <c r="I192" s="405">
        <f t="shared" ref="I192" si="477">G192*H192</f>
        <v>37050</v>
      </c>
      <c r="J192" s="615">
        <f t="shared" si="459"/>
        <v>42607.5</v>
      </c>
      <c r="K192" s="747">
        <f t="shared" ref="K192" si="478">J192-L192-M192</f>
        <v>21303.75</v>
      </c>
      <c r="L192" s="747"/>
      <c r="M192" s="747">
        <f t="shared" ref="M192" si="479">(1-N192)*J192</f>
        <v>21303.75</v>
      </c>
      <c r="N192" s="741">
        <v>0.5</v>
      </c>
      <c r="O192" s="407">
        <v>50</v>
      </c>
      <c r="P192" s="408"/>
      <c r="Q192" s="408"/>
      <c r="R192" s="408"/>
      <c r="S192" s="408">
        <f t="shared" si="461"/>
        <v>42607.5</v>
      </c>
      <c r="T192" s="408"/>
      <c r="U192" s="408"/>
      <c r="V192" s="408"/>
      <c r="W192" s="408"/>
      <c r="X192" s="408"/>
      <c r="Y192" s="408"/>
      <c r="Z192" s="408"/>
      <c r="AA192" s="408"/>
      <c r="AC192" s="632">
        <f t="shared" ref="AC192" si="480">IFERROR(P192*$K192/$J192,0)</f>
        <v>0</v>
      </c>
      <c r="AD192" s="632">
        <f t="shared" ref="AD192" si="481">IFERROR(Q192*$K192/$J192,0)</f>
        <v>0</v>
      </c>
      <c r="AE192" s="632">
        <f t="shared" ref="AE192" si="482">IFERROR(R192*$K192/$J192,0)</f>
        <v>0</v>
      </c>
      <c r="AF192" s="632">
        <f t="shared" ref="AF192" si="483">IFERROR(S192*$K192/$J192,0)</f>
        <v>21303.75</v>
      </c>
      <c r="AG192" s="632">
        <f t="shared" ref="AG192" si="484">IFERROR(T192*$K192/$J192,0)</f>
        <v>0</v>
      </c>
      <c r="AH192" s="632">
        <f t="shared" ref="AH192" si="485">IFERROR(U192*$K192/$J192,0)</f>
        <v>0</v>
      </c>
      <c r="AI192" s="632">
        <f t="shared" ref="AI192" si="486">IFERROR(V192*$K192/$J192,0)</f>
        <v>0</v>
      </c>
      <c r="AJ192" s="632">
        <f t="shared" ref="AJ192" si="487">IFERROR(W192*$K192/$J192,0)</f>
        <v>0</v>
      </c>
      <c r="AK192" s="632">
        <f t="shared" ref="AK192" si="488">IFERROR(X192*$K192/$J192,0)</f>
        <v>0</v>
      </c>
      <c r="AL192" s="632">
        <f t="shared" ref="AL192" si="489">IFERROR(Y192*$K192/$J192,0)</f>
        <v>0</v>
      </c>
      <c r="AM192" s="632">
        <f t="shared" ref="AM192" si="490">IFERROR(Z192*$K192/$J192,0)</f>
        <v>0</v>
      </c>
      <c r="AN192" s="632">
        <f t="shared" ref="AN192" si="491">IFERROR(AA192*$K192/$J192,0)</f>
        <v>0</v>
      </c>
    </row>
    <row r="193" spans="1:49" x14ac:dyDescent="0.35">
      <c r="A193" s="401" t="s">
        <v>583</v>
      </c>
      <c r="B193" s="401" t="s">
        <v>17</v>
      </c>
      <c r="C193" s="401" t="s">
        <v>753</v>
      </c>
      <c r="D193" s="401" t="s">
        <v>434</v>
      </c>
      <c r="E193" s="527" t="s">
        <v>1080</v>
      </c>
      <c r="F193" s="432" t="s">
        <v>585</v>
      </c>
      <c r="G193" s="433">
        <v>1</v>
      </c>
      <c r="H193" s="417">
        <f>Ühikhinnad!C9</f>
        <v>75000</v>
      </c>
      <c r="I193" s="405">
        <f t="shared" si="431"/>
        <v>75000</v>
      </c>
      <c r="J193" s="615">
        <f t="shared" si="459"/>
        <v>86250</v>
      </c>
      <c r="K193" s="747">
        <f t="shared" si="432"/>
        <v>43125</v>
      </c>
      <c r="L193" s="747"/>
      <c r="M193" s="747">
        <f t="shared" si="462"/>
        <v>43125</v>
      </c>
      <c r="N193" s="741">
        <v>0.5</v>
      </c>
      <c r="O193" s="407">
        <v>25</v>
      </c>
      <c r="P193" s="408"/>
      <c r="Q193" s="408"/>
      <c r="R193" s="408"/>
      <c r="S193" s="408">
        <f t="shared" si="461"/>
        <v>86250</v>
      </c>
      <c r="T193" s="408"/>
      <c r="U193" s="408"/>
      <c r="V193" s="408"/>
      <c r="W193" s="408"/>
      <c r="X193" s="408"/>
      <c r="Y193" s="408"/>
      <c r="Z193" s="408"/>
      <c r="AA193" s="408"/>
      <c r="AC193" s="632">
        <f t="shared" si="433"/>
        <v>0</v>
      </c>
      <c r="AD193" s="632">
        <f t="shared" si="434"/>
        <v>0</v>
      </c>
      <c r="AE193" s="632">
        <f t="shared" si="435"/>
        <v>0</v>
      </c>
      <c r="AF193" s="632">
        <f t="shared" si="436"/>
        <v>43125</v>
      </c>
      <c r="AG193" s="632">
        <f t="shared" si="437"/>
        <v>0</v>
      </c>
      <c r="AH193" s="632">
        <f t="shared" si="438"/>
        <v>0</v>
      </c>
      <c r="AI193" s="632">
        <f t="shared" si="439"/>
        <v>0</v>
      </c>
      <c r="AJ193" s="632">
        <f t="shared" si="440"/>
        <v>0</v>
      </c>
      <c r="AK193" s="632">
        <f t="shared" si="441"/>
        <v>0</v>
      </c>
      <c r="AL193" s="632">
        <f t="shared" si="442"/>
        <v>0</v>
      </c>
      <c r="AM193" s="632">
        <f t="shared" si="443"/>
        <v>0</v>
      </c>
      <c r="AN193" s="632">
        <f t="shared" si="444"/>
        <v>0</v>
      </c>
    </row>
    <row r="194" spans="1:49" ht="10" x14ac:dyDescent="0.35">
      <c r="E194" s="420" t="s">
        <v>594</v>
      </c>
      <c r="F194" s="421"/>
      <c r="G194" s="421"/>
      <c r="H194" s="422"/>
      <c r="I194" s="423"/>
      <c r="J194" s="614">
        <f>J196+J199</f>
        <v>91942.5</v>
      </c>
      <c r="K194" s="617">
        <f t="shared" ref="K194:M194" si="492">K196+K199</f>
        <v>91942.5</v>
      </c>
      <c r="L194" s="617">
        <f t="shared" si="492"/>
        <v>0</v>
      </c>
      <c r="M194" s="617">
        <f t="shared" si="492"/>
        <v>0</v>
      </c>
      <c r="O194" s="375"/>
      <c r="AC194" s="375"/>
      <c r="AD194" s="375"/>
      <c r="AE194" s="375"/>
      <c r="AF194" s="375"/>
      <c r="AG194" s="375"/>
      <c r="AH194" s="375"/>
      <c r="AI194" s="375"/>
      <c r="AJ194" s="375"/>
      <c r="AK194" s="375"/>
      <c r="AL194" s="375"/>
      <c r="AM194" s="375"/>
      <c r="AN194" s="375"/>
    </row>
    <row r="195" spans="1:49" x14ac:dyDescent="0.35">
      <c r="A195" s="376" t="s">
        <v>8</v>
      </c>
      <c r="B195" s="376" t="s">
        <v>14</v>
      </c>
      <c r="C195" s="376" t="s">
        <v>13</v>
      </c>
      <c r="D195" s="376" t="s">
        <v>6</v>
      </c>
      <c r="E195" s="377" t="s">
        <v>0</v>
      </c>
      <c r="F195" s="378" t="s">
        <v>1</v>
      </c>
      <c r="G195" s="379" t="s">
        <v>2</v>
      </c>
      <c r="H195" s="380" t="s">
        <v>3</v>
      </c>
      <c r="I195" s="380" t="s">
        <v>4</v>
      </c>
      <c r="J195" s="609" t="s">
        <v>52</v>
      </c>
      <c r="K195" s="623"/>
      <c r="L195" s="623"/>
      <c r="M195" s="623"/>
      <c r="N195" s="390"/>
      <c r="O195" s="395" t="s">
        <v>181</v>
      </c>
      <c r="P195" s="382">
        <v>2024</v>
      </c>
      <c r="Q195" s="382">
        <v>2025</v>
      </c>
      <c r="R195" s="382">
        <v>2026</v>
      </c>
      <c r="S195" s="382">
        <v>2027</v>
      </c>
      <c r="T195" s="383">
        <v>2028</v>
      </c>
      <c r="U195" s="383">
        <v>2029</v>
      </c>
      <c r="V195" s="383">
        <v>2030</v>
      </c>
      <c r="W195" s="383">
        <v>2031</v>
      </c>
      <c r="X195" s="383">
        <v>2032</v>
      </c>
      <c r="Y195" s="383">
        <v>2033</v>
      </c>
      <c r="Z195" s="383">
        <v>2034</v>
      </c>
      <c r="AA195" s="383">
        <v>2035</v>
      </c>
      <c r="AC195" s="382">
        <v>2024</v>
      </c>
      <c r="AD195" s="382">
        <v>2025</v>
      </c>
      <c r="AE195" s="382">
        <v>2026</v>
      </c>
      <c r="AF195" s="382">
        <v>2027</v>
      </c>
      <c r="AG195" s="383">
        <v>2028</v>
      </c>
      <c r="AH195" s="383">
        <v>2029</v>
      </c>
      <c r="AI195" s="383">
        <v>2030</v>
      </c>
      <c r="AJ195" s="383">
        <v>2031</v>
      </c>
      <c r="AK195" s="383">
        <v>2032</v>
      </c>
      <c r="AL195" s="383">
        <v>2033</v>
      </c>
      <c r="AM195" s="383">
        <v>2034</v>
      </c>
      <c r="AN195" s="383">
        <v>2035</v>
      </c>
    </row>
    <row r="196" spans="1:49" x14ac:dyDescent="0.35">
      <c r="E196" s="396" t="s">
        <v>582</v>
      </c>
      <c r="F196" s="397"/>
      <c r="G196" s="397"/>
      <c r="H196" s="398"/>
      <c r="I196" s="399"/>
      <c r="J196" s="399">
        <f>SUM(J197:J198)</f>
        <v>91942.5</v>
      </c>
      <c r="K196" s="621">
        <f t="shared" ref="K196:M196" si="493">SUM(K197:K198)</f>
        <v>91942.5</v>
      </c>
      <c r="L196" s="621">
        <f t="shared" si="493"/>
        <v>0</v>
      </c>
      <c r="M196" s="621">
        <f t="shared" si="493"/>
        <v>0</v>
      </c>
      <c r="O196" s="400"/>
      <c r="P196" s="400"/>
      <c r="Q196" s="400"/>
      <c r="R196" s="400"/>
      <c r="S196" s="400"/>
      <c r="T196" s="400"/>
      <c r="U196" s="400"/>
      <c r="V196" s="400"/>
      <c r="W196" s="400"/>
      <c r="X196" s="400"/>
      <c r="Y196" s="400"/>
      <c r="Z196" s="400"/>
      <c r="AA196" s="400"/>
      <c r="AC196" s="400"/>
      <c r="AD196" s="400"/>
      <c r="AE196" s="400"/>
      <c r="AF196" s="400"/>
      <c r="AG196" s="400"/>
      <c r="AH196" s="400"/>
      <c r="AI196" s="400"/>
      <c r="AJ196" s="400"/>
      <c r="AK196" s="400"/>
      <c r="AL196" s="400"/>
      <c r="AM196" s="400"/>
      <c r="AN196" s="400"/>
    </row>
    <row r="197" spans="1:49" x14ac:dyDescent="0.35">
      <c r="A197" s="401" t="s">
        <v>595</v>
      </c>
      <c r="B197" s="401" t="s">
        <v>15</v>
      </c>
      <c r="C197" s="401" t="s">
        <v>748</v>
      </c>
      <c r="D197" s="401" t="s">
        <v>434</v>
      </c>
      <c r="E197" s="427" t="s">
        <v>624</v>
      </c>
      <c r="F197" s="432" t="s">
        <v>585</v>
      </c>
      <c r="G197" s="433"/>
      <c r="H197" s="417">
        <f>Ühikhinnad!$H$55</f>
        <v>353000</v>
      </c>
      <c r="I197" s="405">
        <f>G197*H197</f>
        <v>0</v>
      </c>
      <c r="J197" s="612">
        <f>yld*I197</f>
        <v>0</v>
      </c>
      <c r="K197" s="608">
        <f t="shared" ref="K197:K198" si="494">J197-L197-M197</f>
        <v>0</v>
      </c>
      <c r="L197" s="608"/>
      <c r="M197" s="608"/>
      <c r="N197" s="520" t="s">
        <v>1063</v>
      </c>
      <c r="O197" s="407">
        <v>25</v>
      </c>
      <c r="P197" s="408"/>
      <c r="Q197" s="408"/>
      <c r="R197" s="408"/>
      <c r="S197" s="408"/>
      <c r="T197" s="419">
        <f t="shared" ref="T197:AA198" si="495">$J197/8</f>
        <v>0</v>
      </c>
      <c r="U197" s="419">
        <f t="shared" si="495"/>
        <v>0</v>
      </c>
      <c r="V197" s="419">
        <f t="shared" si="495"/>
        <v>0</v>
      </c>
      <c r="W197" s="419">
        <f t="shared" si="495"/>
        <v>0</v>
      </c>
      <c r="X197" s="419">
        <f t="shared" si="495"/>
        <v>0</v>
      </c>
      <c r="Y197" s="419">
        <f t="shared" si="495"/>
        <v>0</v>
      </c>
      <c r="Z197" s="419">
        <f t="shared" si="495"/>
        <v>0</v>
      </c>
      <c r="AA197" s="419">
        <f t="shared" si="495"/>
        <v>0</v>
      </c>
      <c r="AC197" s="632">
        <f t="shared" ref="AC197:AC198" si="496">IFERROR(P197*$K197/$J197,0)</f>
        <v>0</v>
      </c>
      <c r="AD197" s="632">
        <f t="shared" ref="AD197:AD198" si="497">IFERROR(Q197*$K197/$J197,0)</f>
        <v>0</v>
      </c>
      <c r="AE197" s="632">
        <f t="shared" ref="AE197:AE198" si="498">IFERROR(R197*$K197/$J197,0)</f>
        <v>0</v>
      </c>
      <c r="AF197" s="632">
        <f t="shared" ref="AF197:AF198" si="499">IFERROR(S197*$K197/$J197,0)</f>
        <v>0</v>
      </c>
      <c r="AG197" s="632">
        <f t="shared" ref="AG197:AG198" si="500">IFERROR(T197*$K197/$J197,0)</f>
        <v>0</v>
      </c>
      <c r="AH197" s="632">
        <f t="shared" ref="AH197:AH198" si="501">IFERROR(U197*$K197/$J197,0)</f>
        <v>0</v>
      </c>
      <c r="AI197" s="632">
        <f t="shared" ref="AI197:AI198" si="502">IFERROR(V197*$K197/$J197,0)</f>
        <v>0</v>
      </c>
      <c r="AJ197" s="632">
        <f t="shared" ref="AJ197:AJ198" si="503">IFERROR(W197*$K197/$J197,0)</f>
        <v>0</v>
      </c>
      <c r="AK197" s="632">
        <f t="shared" ref="AK197:AK198" si="504">IFERROR(X197*$K197/$J197,0)</f>
        <v>0</v>
      </c>
      <c r="AL197" s="632">
        <f t="shared" ref="AL197:AL198" si="505">IFERROR(Y197*$K197/$J197,0)</f>
        <v>0</v>
      </c>
      <c r="AM197" s="632">
        <f t="shared" ref="AM197:AM198" si="506">IFERROR(Z197*$K197/$J197,0)</f>
        <v>0</v>
      </c>
      <c r="AN197" s="632">
        <f t="shared" ref="AN197:AN198" si="507">IFERROR(AA197*$K197/$J197,0)</f>
        <v>0</v>
      </c>
    </row>
    <row r="198" spans="1:49" x14ac:dyDescent="0.35">
      <c r="A198" s="401" t="s">
        <v>595</v>
      </c>
      <c r="B198" s="401" t="s">
        <v>15</v>
      </c>
      <c r="C198" s="401" t="s">
        <v>745</v>
      </c>
      <c r="D198" s="401" t="s">
        <v>434</v>
      </c>
      <c r="E198" s="140" t="s">
        <v>761</v>
      </c>
      <c r="F198" s="432" t="s">
        <v>9</v>
      </c>
      <c r="G198" s="433">
        <v>615</v>
      </c>
      <c r="H198" s="434">
        <f>Ühikhinnad!$C$2</f>
        <v>130</v>
      </c>
      <c r="I198" s="405">
        <f>G198*H198</f>
        <v>79950</v>
      </c>
      <c r="J198" s="612">
        <f>yld*I198</f>
        <v>91942.5</v>
      </c>
      <c r="K198" s="608">
        <f t="shared" si="494"/>
        <v>91942.5</v>
      </c>
      <c r="L198" s="608"/>
      <c r="M198" s="608"/>
      <c r="N198" s="406"/>
      <c r="O198" s="407">
        <v>50</v>
      </c>
      <c r="P198" s="408"/>
      <c r="Q198" s="408"/>
      <c r="R198" s="408"/>
      <c r="S198" s="408"/>
      <c r="T198" s="419">
        <f t="shared" si="495"/>
        <v>11492.8125</v>
      </c>
      <c r="U198" s="419">
        <f t="shared" si="495"/>
        <v>11492.8125</v>
      </c>
      <c r="V198" s="419">
        <f t="shared" si="495"/>
        <v>11492.8125</v>
      </c>
      <c r="W198" s="419">
        <f t="shared" si="495"/>
        <v>11492.8125</v>
      </c>
      <c r="X198" s="419">
        <f t="shared" si="495"/>
        <v>11492.8125</v>
      </c>
      <c r="Y198" s="419">
        <f t="shared" si="495"/>
        <v>11492.8125</v>
      </c>
      <c r="Z198" s="419">
        <f t="shared" si="495"/>
        <v>11492.8125</v>
      </c>
      <c r="AA198" s="419">
        <f t="shared" si="495"/>
        <v>11492.8125</v>
      </c>
      <c r="AC198" s="632">
        <f t="shared" si="496"/>
        <v>0</v>
      </c>
      <c r="AD198" s="632">
        <f t="shared" si="497"/>
        <v>0</v>
      </c>
      <c r="AE198" s="632">
        <f t="shared" si="498"/>
        <v>0</v>
      </c>
      <c r="AF198" s="632">
        <f t="shared" si="499"/>
        <v>0</v>
      </c>
      <c r="AG198" s="632">
        <f t="shared" si="500"/>
        <v>11492.8125</v>
      </c>
      <c r="AH198" s="632">
        <f t="shared" si="501"/>
        <v>11492.8125</v>
      </c>
      <c r="AI198" s="632">
        <f t="shared" si="502"/>
        <v>11492.8125</v>
      </c>
      <c r="AJ198" s="632">
        <f t="shared" si="503"/>
        <v>11492.8125</v>
      </c>
      <c r="AK198" s="632">
        <f t="shared" si="504"/>
        <v>11492.8125</v>
      </c>
      <c r="AL198" s="632">
        <f t="shared" si="505"/>
        <v>11492.8125</v>
      </c>
      <c r="AM198" s="632">
        <f t="shared" si="506"/>
        <v>11492.8125</v>
      </c>
      <c r="AN198" s="632">
        <f t="shared" si="507"/>
        <v>11492.8125</v>
      </c>
    </row>
    <row r="199" spans="1:49" s="390" customFormat="1" outlineLevel="1" x14ac:dyDescent="0.35">
      <c r="A199" s="370"/>
      <c r="B199" s="370"/>
      <c r="C199" s="370"/>
      <c r="D199" s="370"/>
      <c r="E199" s="410" t="s">
        <v>588</v>
      </c>
      <c r="F199" s="428"/>
      <c r="G199" s="428"/>
      <c r="H199" s="429"/>
      <c r="I199" s="430"/>
      <c r="J199" s="413">
        <f>SUM(J200:J200)</f>
        <v>0</v>
      </c>
      <c r="K199" s="622">
        <f t="shared" ref="K199:M199" si="508">SUM(K200:K200)</f>
        <v>0</v>
      </c>
      <c r="L199" s="622">
        <f t="shared" si="508"/>
        <v>0</v>
      </c>
      <c r="M199" s="622">
        <f t="shared" si="508"/>
        <v>0</v>
      </c>
      <c r="N199" s="375"/>
      <c r="O199" s="431"/>
      <c r="P199" s="431"/>
      <c r="Q199" s="431"/>
      <c r="R199" s="431"/>
      <c r="S199" s="431"/>
      <c r="T199" s="431"/>
      <c r="U199" s="431"/>
      <c r="V199" s="431"/>
      <c r="W199" s="431"/>
      <c r="X199" s="431"/>
      <c r="Y199" s="431"/>
      <c r="Z199" s="431"/>
      <c r="AA199" s="431"/>
      <c r="AB199" s="375"/>
      <c r="AC199" s="431"/>
      <c r="AD199" s="431"/>
      <c r="AE199" s="431"/>
      <c r="AF199" s="431"/>
      <c r="AG199" s="431"/>
      <c r="AH199" s="431"/>
      <c r="AI199" s="431"/>
      <c r="AJ199" s="431"/>
      <c r="AK199" s="431"/>
      <c r="AL199" s="431"/>
      <c r="AM199" s="431"/>
      <c r="AN199" s="431"/>
      <c r="AO199" s="375"/>
      <c r="AP199" s="375"/>
      <c r="AQ199" s="375"/>
      <c r="AR199" s="375"/>
      <c r="AS199" s="375"/>
      <c r="AT199" s="375"/>
      <c r="AU199" s="375"/>
      <c r="AV199" s="375"/>
      <c r="AW199" s="375"/>
    </row>
    <row r="200" spans="1:49" outlineLevel="1" x14ac:dyDescent="0.35">
      <c r="A200" s="401"/>
      <c r="B200" s="401"/>
      <c r="C200" s="401"/>
      <c r="D200" s="401"/>
      <c r="E200" s="161"/>
      <c r="F200" s="432"/>
      <c r="G200" s="433"/>
      <c r="H200" s="434"/>
      <c r="I200" s="405">
        <f>G200*H200</f>
        <v>0</v>
      </c>
      <c r="J200" s="612">
        <f>yld*I200</f>
        <v>0</v>
      </c>
      <c r="K200" s="608"/>
      <c r="L200" s="608"/>
      <c r="M200" s="608"/>
      <c r="O200" s="407"/>
      <c r="P200" s="408"/>
      <c r="Q200" s="408"/>
      <c r="R200" s="408"/>
      <c r="S200" s="408"/>
      <c r="T200" s="408"/>
      <c r="U200" s="408"/>
      <c r="V200" s="408"/>
      <c r="W200" s="408"/>
      <c r="X200" s="408"/>
      <c r="Y200" s="408"/>
      <c r="Z200" s="408"/>
      <c r="AA200" s="408"/>
      <c r="AC200" s="632">
        <f>IFERROR(P200*$K200/$J200,0)</f>
        <v>0</v>
      </c>
      <c r="AD200" s="632">
        <f t="shared" ref="AD200" si="509">IFERROR(Q200*$K200/$J200,0)</f>
        <v>0</v>
      </c>
      <c r="AE200" s="632">
        <f t="shared" ref="AE200" si="510">IFERROR(R200*$K200/$J200,0)</f>
        <v>0</v>
      </c>
      <c r="AF200" s="632">
        <f t="shared" ref="AF200" si="511">IFERROR(S200*$K200/$J200,0)</f>
        <v>0</v>
      </c>
      <c r="AG200" s="632">
        <f t="shared" ref="AG200" si="512">IFERROR(T200*$K200/$J200,0)</f>
        <v>0</v>
      </c>
      <c r="AH200" s="632">
        <f t="shared" ref="AH200" si="513">IFERROR(U200*$K200/$J200,0)</f>
        <v>0</v>
      </c>
      <c r="AI200" s="632">
        <f t="shared" ref="AI200" si="514">IFERROR(V200*$K200/$J200,0)</f>
        <v>0</v>
      </c>
      <c r="AJ200" s="632">
        <f t="shared" ref="AJ200" si="515">IFERROR(W200*$K200/$J200,0)</f>
        <v>0</v>
      </c>
      <c r="AK200" s="632">
        <f t="shared" ref="AK200" si="516">IFERROR(X200*$K200/$J200,0)</f>
        <v>0</v>
      </c>
      <c r="AL200" s="632">
        <f t="shared" ref="AL200" si="517">IFERROR(Y200*$K200/$J200,0)</f>
        <v>0</v>
      </c>
      <c r="AM200" s="632">
        <f t="shared" ref="AM200" si="518">IFERROR(Z200*$K200/$J200,0)</f>
        <v>0</v>
      </c>
      <c r="AN200" s="632">
        <f t="shared" ref="AN200" si="519">IFERROR(AA200*$K200/$J200,0)</f>
        <v>0</v>
      </c>
    </row>
    <row r="201" spans="1:49" s="390" customFormat="1" ht="10" x14ac:dyDescent="0.35">
      <c r="A201" s="370"/>
      <c r="B201" s="370"/>
      <c r="C201" s="370"/>
      <c r="D201" s="370"/>
      <c r="E201" s="481" t="s">
        <v>659</v>
      </c>
      <c r="F201" s="482"/>
      <c r="G201" s="482"/>
      <c r="H201" s="483"/>
      <c r="I201" s="484"/>
      <c r="J201" s="611">
        <f>J203+J212</f>
        <v>1686877.5</v>
      </c>
      <c r="K201" s="607"/>
      <c r="L201" s="607"/>
      <c r="M201" s="607"/>
      <c r="N201" s="375"/>
      <c r="O201" s="375"/>
      <c r="P201" s="375"/>
      <c r="Q201" s="375"/>
      <c r="R201" s="375"/>
      <c r="S201" s="375"/>
      <c r="T201" s="375"/>
      <c r="U201" s="375"/>
      <c r="V201" s="375"/>
      <c r="W201" s="375"/>
      <c r="X201" s="375"/>
      <c r="Y201" s="375"/>
      <c r="Z201" s="375"/>
      <c r="AA201" s="375"/>
      <c r="AC201" s="375"/>
      <c r="AD201" s="375"/>
      <c r="AE201" s="375"/>
      <c r="AF201" s="375"/>
      <c r="AG201" s="375"/>
      <c r="AH201" s="375"/>
      <c r="AI201" s="375"/>
      <c r="AJ201" s="375"/>
      <c r="AK201" s="375"/>
      <c r="AL201" s="375"/>
      <c r="AM201" s="375"/>
      <c r="AN201" s="375"/>
      <c r="AO201" s="375"/>
      <c r="AP201" s="375"/>
      <c r="AQ201" s="375"/>
      <c r="AR201" s="375"/>
      <c r="AS201" s="375"/>
      <c r="AT201" s="375"/>
      <c r="AU201" s="375"/>
      <c r="AV201" s="375"/>
      <c r="AW201" s="375"/>
    </row>
    <row r="202" spans="1:49" x14ac:dyDescent="0.35">
      <c r="E202" s="377" t="s">
        <v>0</v>
      </c>
      <c r="F202" s="378" t="s">
        <v>1</v>
      </c>
      <c r="G202" s="379" t="s">
        <v>2</v>
      </c>
      <c r="H202" s="380" t="s">
        <v>3</v>
      </c>
      <c r="I202" s="380" t="s">
        <v>4</v>
      </c>
      <c r="J202" s="609" t="s">
        <v>52</v>
      </c>
      <c r="K202" s="606"/>
      <c r="L202" s="606"/>
      <c r="M202" s="606"/>
      <c r="N202" s="390"/>
      <c r="P202" s="390"/>
      <c r="Q202" s="390"/>
      <c r="R202" s="390"/>
      <c r="S202" s="390"/>
      <c r="T202" s="390"/>
      <c r="U202" s="390"/>
      <c r="V202" s="390"/>
      <c r="W202" s="390"/>
      <c r="X202" s="390"/>
      <c r="Y202" s="390"/>
      <c r="Z202" s="390"/>
      <c r="AA202" s="390"/>
      <c r="AC202" s="390"/>
      <c r="AD202" s="390"/>
      <c r="AE202" s="390"/>
      <c r="AF202" s="390"/>
      <c r="AG202" s="390"/>
      <c r="AH202" s="390"/>
      <c r="AI202" s="390"/>
      <c r="AJ202" s="390"/>
      <c r="AK202" s="390"/>
      <c r="AL202" s="390"/>
      <c r="AM202" s="390"/>
      <c r="AN202" s="390"/>
    </row>
    <row r="203" spans="1:49" x14ac:dyDescent="0.35">
      <c r="E203" s="396" t="s">
        <v>582</v>
      </c>
      <c r="F203" s="397"/>
      <c r="G203" s="397"/>
      <c r="H203" s="398"/>
      <c r="I203" s="399">
        <f>SUM(I204:I211)</f>
        <v>726800</v>
      </c>
      <c r="J203" s="399">
        <f>SUM(J204:J211)</f>
        <v>835820</v>
      </c>
      <c r="K203" s="625"/>
      <c r="L203" s="625"/>
      <c r="M203" s="625"/>
      <c r="AC203" s="375"/>
      <c r="AD203" s="375"/>
      <c r="AE203" s="375"/>
      <c r="AF203" s="375"/>
      <c r="AG203" s="375"/>
      <c r="AH203" s="375"/>
      <c r="AI203" s="375"/>
      <c r="AJ203" s="375"/>
      <c r="AK203" s="375"/>
      <c r="AL203" s="375"/>
      <c r="AM203" s="375"/>
      <c r="AN203" s="375"/>
    </row>
    <row r="204" spans="1:49" ht="9" customHeight="1" x14ac:dyDescent="0.35">
      <c r="A204" s="517" t="s">
        <v>737</v>
      </c>
      <c r="B204" s="517" t="s">
        <v>15</v>
      </c>
      <c r="C204" s="517"/>
      <c r="D204" s="517" t="s">
        <v>434</v>
      </c>
      <c r="E204" s="161" t="s">
        <v>1068</v>
      </c>
      <c r="F204" s="402" t="s">
        <v>585</v>
      </c>
      <c r="G204" s="403">
        <v>1</v>
      </c>
      <c r="H204" s="404">
        <f>H197</f>
        <v>353000</v>
      </c>
      <c r="I204" s="405">
        <f t="shared" ref="I204:I211" si="520">G204*H204</f>
        <v>353000</v>
      </c>
      <c r="J204" s="612">
        <f t="shared" ref="J204:J211" si="521">yld*I204</f>
        <v>405949.99999999994</v>
      </c>
      <c r="K204" s="608"/>
      <c r="L204" s="608"/>
      <c r="M204" s="608"/>
      <c r="N204" s="406"/>
      <c r="Y204" s="406"/>
      <c r="Z204" s="406"/>
      <c r="AA204" s="406"/>
      <c r="AL204" s="633"/>
      <c r="AM204" s="633"/>
      <c r="AN204" s="633"/>
    </row>
    <row r="205" spans="1:49" ht="9" customHeight="1" x14ac:dyDescent="0.35">
      <c r="A205" s="517" t="s">
        <v>737</v>
      </c>
      <c r="B205" s="517" t="s">
        <v>15</v>
      </c>
      <c r="C205" s="517"/>
      <c r="D205" s="517" t="s">
        <v>434</v>
      </c>
      <c r="E205" s="161" t="s">
        <v>763</v>
      </c>
      <c r="F205" s="402" t="s">
        <v>9</v>
      </c>
      <c r="G205" s="403">
        <v>1625</v>
      </c>
      <c r="H205" s="404">
        <f>Ühikhinnad!$C$3</f>
        <v>80</v>
      </c>
      <c r="I205" s="405">
        <f t="shared" ref="I205" si="522">G205*H205</f>
        <v>130000</v>
      </c>
      <c r="J205" s="612">
        <f t="shared" ref="J205" si="523">yld*I205</f>
        <v>149500</v>
      </c>
      <c r="K205" s="608"/>
      <c r="L205" s="608"/>
      <c r="M205" s="608"/>
      <c r="N205" s="406"/>
      <c r="Y205" s="406"/>
      <c r="Z205" s="406"/>
      <c r="AA205" s="406"/>
      <c r="AL205" s="633"/>
      <c r="AM205" s="633"/>
      <c r="AN205" s="633"/>
    </row>
    <row r="206" spans="1:49" ht="9" customHeight="1" x14ac:dyDescent="0.35">
      <c r="A206" s="517" t="s">
        <v>737</v>
      </c>
      <c r="B206" s="517" t="s">
        <v>15</v>
      </c>
      <c r="C206" s="517"/>
      <c r="D206" s="517" t="s">
        <v>434</v>
      </c>
      <c r="E206" s="161" t="s">
        <v>983</v>
      </c>
      <c r="F206" s="402" t="s">
        <v>5</v>
      </c>
      <c r="G206" s="433">
        <v>25</v>
      </c>
      <c r="H206" s="404">
        <f>Ühikhinnad!$C$11</f>
        <v>350</v>
      </c>
      <c r="I206" s="405">
        <f t="shared" si="520"/>
        <v>8750</v>
      </c>
      <c r="J206" s="612">
        <f t="shared" si="521"/>
        <v>10062.5</v>
      </c>
      <c r="K206" s="608"/>
      <c r="L206" s="608"/>
      <c r="M206" s="608"/>
      <c r="N206" s="406"/>
      <c r="Y206" s="406"/>
      <c r="Z206" s="406"/>
      <c r="AA206" s="406"/>
      <c r="AL206" s="633"/>
      <c r="AM206" s="633"/>
      <c r="AN206" s="633"/>
    </row>
    <row r="207" spans="1:49" ht="9" customHeight="1" x14ac:dyDescent="0.35">
      <c r="A207" s="517" t="s">
        <v>737</v>
      </c>
      <c r="B207" s="517" t="s">
        <v>15</v>
      </c>
      <c r="C207" s="517"/>
      <c r="D207" s="517" t="s">
        <v>434</v>
      </c>
      <c r="E207" s="161" t="s">
        <v>984</v>
      </c>
      <c r="F207" s="402" t="s">
        <v>9</v>
      </c>
      <c r="G207" s="403">
        <v>350</v>
      </c>
      <c r="H207" s="404">
        <f>Ühikhinnad!$C$3</f>
        <v>80</v>
      </c>
      <c r="I207" s="405">
        <f t="shared" si="520"/>
        <v>28000</v>
      </c>
      <c r="J207" s="612">
        <f t="shared" si="521"/>
        <v>32199.999999999996</v>
      </c>
      <c r="K207" s="608"/>
      <c r="L207" s="608"/>
      <c r="M207" s="608"/>
      <c r="N207" s="406"/>
      <c r="Y207" s="406"/>
      <c r="Z207" s="406"/>
      <c r="AA207" s="406"/>
      <c r="AL207" s="633"/>
      <c r="AM207" s="633"/>
      <c r="AN207" s="633"/>
    </row>
    <row r="208" spans="1:49" ht="9" customHeight="1" x14ac:dyDescent="0.35">
      <c r="A208" s="517" t="s">
        <v>737</v>
      </c>
      <c r="B208" s="517" t="s">
        <v>15</v>
      </c>
      <c r="C208" s="517"/>
      <c r="D208" s="517" t="s">
        <v>434</v>
      </c>
      <c r="E208" s="161" t="s">
        <v>986</v>
      </c>
      <c r="F208" s="402" t="s">
        <v>9</v>
      </c>
      <c r="G208" s="518">
        <v>335</v>
      </c>
      <c r="H208" s="404">
        <f>Ühikhinnad!$C$3</f>
        <v>80</v>
      </c>
      <c r="I208" s="405">
        <f t="shared" si="520"/>
        <v>26800</v>
      </c>
      <c r="J208" s="612">
        <f t="shared" si="521"/>
        <v>30819.999999999996</v>
      </c>
      <c r="K208" s="608"/>
      <c r="L208" s="608"/>
      <c r="M208" s="608"/>
      <c r="N208" s="406"/>
      <c r="Y208" s="406"/>
      <c r="Z208" s="406"/>
      <c r="AA208" s="406"/>
      <c r="AL208" s="633"/>
      <c r="AM208" s="633"/>
      <c r="AN208" s="633"/>
    </row>
    <row r="209" spans="1:49" ht="9" customHeight="1" x14ac:dyDescent="0.35">
      <c r="A209" s="517" t="s">
        <v>737</v>
      </c>
      <c r="B209" s="517" t="s">
        <v>15</v>
      </c>
      <c r="C209" s="517"/>
      <c r="D209" s="517" t="s">
        <v>434</v>
      </c>
      <c r="E209" s="161" t="s">
        <v>987</v>
      </c>
      <c r="F209" s="402" t="s">
        <v>9</v>
      </c>
      <c r="G209" s="518">
        <v>115</v>
      </c>
      <c r="H209" s="404">
        <f>Ühikhinnad!$C$2</f>
        <v>130</v>
      </c>
      <c r="I209" s="405">
        <f t="shared" si="520"/>
        <v>14950</v>
      </c>
      <c r="J209" s="612">
        <f t="shared" si="521"/>
        <v>17192.5</v>
      </c>
      <c r="K209" s="608"/>
      <c r="L209" s="608"/>
      <c r="M209" s="608"/>
      <c r="N209" s="406"/>
      <c r="Y209" s="406"/>
      <c r="Z209" s="406"/>
      <c r="AA209" s="406"/>
      <c r="AL209" s="633"/>
      <c r="AM209" s="633"/>
      <c r="AN209" s="633"/>
    </row>
    <row r="210" spans="1:49" ht="9" customHeight="1" x14ac:dyDescent="0.35">
      <c r="A210" s="517" t="s">
        <v>737</v>
      </c>
      <c r="B210" s="517" t="s">
        <v>15</v>
      </c>
      <c r="C210" s="517"/>
      <c r="D210" s="517" t="s">
        <v>434</v>
      </c>
      <c r="E210" s="161" t="s">
        <v>988</v>
      </c>
      <c r="F210" s="402" t="s">
        <v>5</v>
      </c>
      <c r="G210" s="518">
        <v>6</v>
      </c>
      <c r="H210" s="404">
        <f>Ühikhinnad!$C$11</f>
        <v>350</v>
      </c>
      <c r="I210" s="405">
        <f t="shared" si="520"/>
        <v>2100</v>
      </c>
      <c r="J210" s="612">
        <f t="shared" si="521"/>
        <v>2415</v>
      </c>
      <c r="K210" s="608"/>
      <c r="L210" s="608"/>
      <c r="M210" s="608"/>
      <c r="N210" s="406"/>
      <c r="Y210" s="406"/>
      <c r="Z210" s="406"/>
      <c r="AA210" s="406"/>
      <c r="AL210" s="633"/>
      <c r="AM210" s="633"/>
      <c r="AN210" s="633"/>
    </row>
    <row r="211" spans="1:49" ht="9" customHeight="1" x14ac:dyDescent="0.35">
      <c r="A211" s="517" t="s">
        <v>737</v>
      </c>
      <c r="B211" s="517" t="s">
        <v>15</v>
      </c>
      <c r="C211" s="517"/>
      <c r="D211" s="517" t="s">
        <v>434</v>
      </c>
      <c r="E211" s="161" t="s">
        <v>989</v>
      </c>
      <c r="F211" s="402" t="s">
        <v>9</v>
      </c>
      <c r="G211" s="518">
        <v>2040</v>
      </c>
      <c r="H211" s="404">
        <f>Ühikhinnad!$C$3</f>
        <v>80</v>
      </c>
      <c r="I211" s="405">
        <f t="shared" si="520"/>
        <v>163200</v>
      </c>
      <c r="J211" s="612">
        <f t="shared" si="521"/>
        <v>187680</v>
      </c>
      <c r="K211" s="608"/>
      <c r="L211" s="608"/>
      <c r="M211" s="608"/>
      <c r="N211" s="406"/>
      <c r="Y211" s="406"/>
      <c r="Z211" s="406"/>
      <c r="AA211" s="406"/>
      <c r="AL211" s="633"/>
      <c r="AM211" s="633"/>
      <c r="AN211" s="633"/>
    </row>
    <row r="212" spans="1:49" s="390" customFormat="1" x14ac:dyDescent="0.35">
      <c r="A212" s="517"/>
      <c r="B212" s="517"/>
      <c r="C212" s="517"/>
      <c r="D212" s="517"/>
      <c r="E212" s="410" t="s">
        <v>588</v>
      </c>
      <c r="F212" s="411"/>
      <c r="G212" s="411"/>
      <c r="H212" s="412"/>
      <c r="I212" s="413">
        <f>SUM(I213:I224)</f>
        <v>740050</v>
      </c>
      <c r="J212" s="413">
        <f>SUM(J213:J224)</f>
        <v>851057.5</v>
      </c>
      <c r="K212" s="625"/>
      <c r="L212" s="625"/>
      <c r="M212" s="625"/>
      <c r="N212" s="414"/>
      <c r="Y212" s="414"/>
      <c r="Z212" s="414"/>
      <c r="AA212" s="414"/>
      <c r="AL212" s="414"/>
      <c r="AM212" s="414"/>
      <c r="AN212" s="414"/>
      <c r="AO212" s="375"/>
      <c r="AP212" s="375"/>
      <c r="AQ212" s="375"/>
      <c r="AR212" s="375"/>
      <c r="AS212" s="375"/>
      <c r="AT212" s="375"/>
      <c r="AU212" s="375"/>
      <c r="AV212" s="375"/>
      <c r="AW212" s="375"/>
    </row>
    <row r="213" spans="1:49" x14ac:dyDescent="0.35">
      <c r="A213" s="517" t="s">
        <v>737</v>
      </c>
      <c r="B213" s="517" t="s">
        <v>17</v>
      </c>
      <c r="C213" s="517"/>
      <c r="D213" s="517" t="s">
        <v>434</v>
      </c>
      <c r="E213" s="161" t="s">
        <v>764</v>
      </c>
      <c r="F213" s="144" t="s">
        <v>9</v>
      </c>
      <c r="G213" s="403">
        <f>1440-445</f>
        <v>995</v>
      </c>
      <c r="H213" s="404">
        <f>Ühikhinnad!$C$4</f>
        <v>160</v>
      </c>
      <c r="I213" s="405">
        <f t="shared" ref="I213:I224" si="524">G213*H213</f>
        <v>159200</v>
      </c>
      <c r="J213" s="612">
        <f t="shared" ref="J213:J224" si="525">yld*I213</f>
        <v>183080</v>
      </c>
      <c r="K213" s="608"/>
      <c r="L213" s="608"/>
      <c r="M213" s="608"/>
      <c r="N213" s="418"/>
      <c r="Y213" s="418"/>
      <c r="Z213" s="418"/>
      <c r="AA213" s="418"/>
    </row>
    <row r="214" spans="1:49" x14ac:dyDescent="0.35">
      <c r="A214" s="517" t="s">
        <v>737</v>
      </c>
      <c r="B214" s="517" t="s">
        <v>17</v>
      </c>
      <c r="C214" s="517"/>
      <c r="D214" s="517" t="s">
        <v>434</v>
      </c>
      <c r="E214" s="161" t="s">
        <v>765</v>
      </c>
      <c r="F214" s="144" t="s">
        <v>9</v>
      </c>
      <c r="G214" s="403">
        <v>420</v>
      </c>
      <c r="H214" s="404">
        <f>Ühikhinnad!$C$5</f>
        <v>130</v>
      </c>
      <c r="I214" s="405">
        <f t="shared" si="524"/>
        <v>54600</v>
      </c>
      <c r="J214" s="612">
        <f t="shared" si="525"/>
        <v>62789.999999999993</v>
      </c>
      <c r="K214" s="608"/>
      <c r="L214" s="608"/>
      <c r="M214" s="608"/>
      <c r="N214" s="418"/>
      <c r="Y214" s="418"/>
      <c r="Z214" s="418"/>
      <c r="AA214" s="418"/>
    </row>
    <row r="215" spans="1:49" x14ac:dyDescent="0.35">
      <c r="A215" s="517" t="s">
        <v>737</v>
      </c>
      <c r="B215" s="517" t="s">
        <v>17</v>
      </c>
      <c r="C215" s="517"/>
      <c r="D215" s="517" t="s">
        <v>434</v>
      </c>
      <c r="E215" s="161" t="s">
        <v>766</v>
      </c>
      <c r="F215" s="144" t="s">
        <v>585</v>
      </c>
      <c r="G215" s="425">
        <v>2</v>
      </c>
      <c r="H215" s="404">
        <f>Ühikhinnad!$C$7</f>
        <v>25000</v>
      </c>
      <c r="I215" s="405">
        <f t="shared" si="524"/>
        <v>50000</v>
      </c>
      <c r="J215" s="612">
        <f t="shared" si="525"/>
        <v>57499.999999999993</v>
      </c>
      <c r="K215" s="608"/>
      <c r="L215" s="608"/>
      <c r="M215" s="608"/>
      <c r="N215" s="418"/>
      <c r="Y215" s="418"/>
      <c r="Z215" s="418"/>
      <c r="AA215" s="418"/>
    </row>
    <row r="216" spans="1:49" x14ac:dyDescent="0.35">
      <c r="A216" s="517" t="s">
        <v>737</v>
      </c>
      <c r="B216" s="517" t="s">
        <v>17</v>
      </c>
      <c r="C216" s="517"/>
      <c r="D216" s="517" t="s">
        <v>434</v>
      </c>
      <c r="E216" s="161" t="s">
        <v>983</v>
      </c>
      <c r="F216" s="144" t="s">
        <v>5</v>
      </c>
      <c r="G216" s="433">
        <v>25</v>
      </c>
      <c r="H216" s="434">
        <f>Ühikhinnad!$C$12</f>
        <v>350</v>
      </c>
      <c r="I216" s="405">
        <f t="shared" si="524"/>
        <v>8750</v>
      </c>
      <c r="J216" s="612">
        <f t="shared" si="525"/>
        <v>10062.5</v>
      </c>
      <c r="K216" s="608"/>
      <c r="L216" s="608"/>
      <c r="M216" s="608"/>
      <c r="N216" s="418"/>
      <c r="Y216" s="418"/>
      <c r="Z216" s="418"/>
      <c r="AA216" s="418"/>
    </row>
    <row r="217" spans="1:49" x14ac:dyDescent="0.35">
      <c r="A217" s="517" t="s">
        <v>737</v>
      </c>
      <c r="B217" s="517" t="s">
        <v>17</v>
      </c>
      <c r="C217" s="517"/>
      <c r="D217" s="517" t="s">
        <v>434</v>
      </c>
      <c r="E217" s="161" t="s">
        <v>990</v>
      </c>
      <c r="F217" s="144" t="s">
        <v>9</v>
      </c>
      <c r="G217" s="403">
        <v>270</v>
      </c>
      <c r="H217" s="404">
        <f>Ühikhinnad!$C$4</f>
        <v>160</v>
      </c>
      <c r="I217" s="405">
        <f t="shared" si="524"/>
        <v>43200</v>
      </c>
      <c r="J217" s="612">
        <f t="shared" si="525"/>
        <v>49679.999999999993</v>
      </c>
      <c r="K217" s="608"/>
      <c r="L217" s="608"/>
      <c r="M217" s="608"/>
      <c r="N217" s="418"/>
      <c r="Y217" s="418"/>
      <c r="Z217" s="418"/>
      <c r="AA217" s="418"/>
    </row>
    <row r="218" spans="1:49" x14ac:dyDescent="0.35">
      <c r="A218" s="517" t="s">
        <v>737</v>
      </c>
      <c r="B218" s="517" t="s">
        <v>17</v>
      </c>
      <c r="C218" s="517"/>
      <c r="D218" s="517" t="s">
        <v>434</v>
      </c>
      <c r="E218" s="161" t="s">
        <v>991</v>
      </c>
      <c r="F218" s="144" t="s">
        <v>9</v>
      </c>
      <c r="G218" s="403">
        <v>330</v>
      </c>
      <c r="H218" s="404">
        <f>Ühikhinnad!$C$5</f>
        <v>130</v>
      </c>
      <c r="I218" s="405">
        <f t="shared" si="524"/>
        <v>42900</v>
      </c>
      <c r="J218" s="612">
        <f t="shared" si="525"/>
        <v>49334.999999999993</v>
      </c>
      <c r="K218" s="608"/>
      <c r="L218" s="608"/>
      <c r="M218" s="608"/>
      <c r="N218" s="418"/>
      <c r="Y218" s="418"/>
      <c r="Z218" s="418"/>
      <c r="AA218" s="418"/>
    </row>
    <row r="219" spans="1:49" x14ac:dyDescent="0.35">
      <c r="A219" s="517" t="s">
        <v>737</v>
      </c>
      <c r="B219" s="517" t="s">
        <v>17</v>
      </c>
      <c r="C219" s="517"/>
      <c r="D219" s="517" t="s">
        <v>434</v>
      </c>
      <c r="E219" s="161" t="s">
        <v>992</v>
      </c>
      <c r="F219" s="144" t="s">
        <v>585</v>
      </c>
      <c r="G219" s="425">
        <v>1</v>
      </c>
      <c r="H219" s="404">
        <f>Ühikhinnad!$C$7</f>
        <v>25000</v>
      </c>
      <c r="I219" s="405">
        <f t="shared" si="524"/>
        <v>25000</v>
      </c>
      <c r="J219" s="612">
        <f t="shared" si="525"/>
        <v>28749.999999999996</v>
      </c>
      <c r="K219" s="608"/>
      <c r="L219" s="608"/>
      <c r="M219" s="608"/>
      <c r="N219" s="418"/>
      <c r="Y219" s="418"/>
      <c r="Z219" s="418"/>
      <c r="AA219" s="418"/>
    </row>
    <row r="220" spans="1:49" x14ac:dyDescent="0.35">
      <c r="A220" s="517" t="s">
        <v>737</v>
      </c>
      <c r="B220" s="517" t="s">
        <v>17</v>
      </c>
      <c r="C220" s="517"/>
      <c r="D220" s="517" t="s">
        <v>434</v>
      </c>
      <c r="E220" s="161" t="s">
        <v>993</v>
      </c>
      <c r="F220" s="144" t="s">
        <v>9</v>
      </c>
      <c r="G220" s="518">
        <v>335</v>
      </c>
      <c r="H220" s="404">
        <f>Ühikhinnad!$C$4</f>
        <v>160</v>
      </c>
      <c r="I220" s="405">
        <f t="shared" si="524"/>
        <v>53600</v>
      </c>
      <c r="J220" s="612">
        <f t="shared" si="525"/>
        <v>61639.999999999993</v>
      </c>
      <c r="K220" s="608"/>
      <c r="L220" s="608"/>
      <c r="M220" s="608"/>
      <c r="N220" s="418"/>
      <c r="Y220" s="418"/>
      <c r="Z220" s="418"/>
      <c r="AA220" s="418"/>
    </row>
    <row r="221" spans="1:49" x14ac:dyDescent="0.35">
      <c r="A221" s="517" t="s">
        <v>737</v>
      </c>
      <c r="B221" s="517" t="s">
        <v>17</v>
      </c>
      <c r="C221" s="517"/>
      <c r="D221" s="517" t="s">
        <v>434</v>
      </c>
      <c r="E221" s="161" t="s">
        <v>988</v>
      </c>
      <c r="F221" s="144" t="s">
        <v>5</v>
      </c>
      <c r="G221" s="518">
        <v>6</v>
      </c>
      <c r="H221" s="434">
        <f>Ühikhinnad!$C$12</f>
        <v>350</v>
      </c>
      <c r="I221" s="405">
        <f t="shared" si="524"/>
        <v>2100</v>
      </c>
      <c r="J221" s="612">
        <f t="shared" si="525"/>
        <v>2415</v>
      </c>
      <c r="K221" s="608"/>
      <c r="L221" s="608"/>
      <c r="M221" s="608"/>
      <c r="N221" s="418"/>
      <c r="Y221" s="418"/>
      <c r="Z221" s="418"/>
      <c r="AA221" s="418"/>
    </row>
    <row r="222" spans="1:49" x14ac:dyDescent="0.35">
      <c r="A222" s="517" t="s">
        <v>737</v>
      </c>
      <c r="B222" s="517" t="s">
        <v>17</v>
      </c>
      <c r="C222" s="517"/>
      <c r="D222" s="517" t="s">
        <v>434</v>
      </c>
      <c r="E222" s="161" t="s">
        <v>994</v>
      </c>
      <c r="F222" s="144" t="s">
        <v>9</v>
      </c>
      <c r="G222" s="518">
        <v>1185</v>
      </c>
      <c r="H222" s="404">
        <f>Ühikhinnad!$C$4</f>
        <v>160</v>
      </c>
      <c r="I222" s="405">
        <f t="shared" si="524"/>
        <v>189600</v>
      </c>
      <c r="J222" s="612">
        <f t="shared" si="525"/>
        <v>218039.99999999997</v>
      </c>
      <c r="K222" s="608"/>
      <c r="L222" s="608"/>
      <c r="M222" s="608"/>
      <c r="N222" s="418"/>
      <c r="Y222" s="418"/>
      <c r="Z222" s="418"/>
      <c r="AA222" s="418"/>
    </row>
    <row r="223" spans="1:49" x14ac:dyDescent="0.35">
      <c r="A223" s="517" t="s">
        <v>737</v>
      </c>
      <c r="B223" s="517" t="s">
        <v>17</v>
      </c>
      <c r="C223" s="517"/>
      <c r="D223" s="517" t="s">
        <v>434</v>
      </c>
      <c r="E223" s="161" t="s">
        <v>995</v>
      </c>
      <c r="F223" s="144" t="s">
        <v>9</v>
      </c>
      <c r="G223" s="518">
        <v>470</v>
      </c>
      <c r="H223" s="404">
        <f>Ühikhinnad!$C$5</f>
        <v>130</v>
      </c>
      <c r="I223" s="405">
        <f t="shared" si="524"/>
        <v>61100</v>
      </c>
      <c r="J223" s="612">
        <f t="shared" si="525"/>
        <v>70265</v>
      </c>
      <c r="K223" s="608"/>
      <c r="L223" s="608"/>
      <c r="M223" s="608"/>
      <c r="N223" s="418"/>
      <c r="Y223" s="418"/>
      <c r="Z223" s="418"/>
      <c r="AA223" s="418"/>
    </row>
    <row r="224" spans="1:49" x14ac:dyDescent="0.35">
      <c r="A224" s="517" t="s">
        <v>737</v>
      </c>
      <c r="B224" s="517" t="s">
        <v>17</v>
      </c>
      <c r="C224" s="517"/>
      <c r="D224" s="517" t="s">
        <v>434</v>
      </c>
      <c r="E224" s="161" t="s">
        <v>996</v>
      </c>
      <c r="F224" s="144" t="s">
        <v>585</v>
      </c>
      <c r="G224" s="518">
        <v>2</v>
      </c>
      <c r="H224" s="404">
        <f>Ühikhinnad!$C$7</f>
        <v>25000</v>
      </c>
      <c r="I224" s="405">
        <f t="shared" si="524"/>
        <v>50000</v>
      </c>
      <c r="J224" s="612">
        <f t="shared" si="525"/>
        <v>57499.999999999993</v>
      </c>
      <c r="K224" s="608"/>
      <c r="L224" s="608"/>
      <c r="M224" s="608"/>
      <c r="N224" s="418"/>
      <c r="Y224" s="418"/>
      <c r="Z224" s="418"/>
      <c r="AA224" s="418"/>
    </row>
    <row r="225" spans="1:49" ht="15.5" thickBot="1" x14ac:dyDescent="0.4">
      <c r="E225" s="384" t="s">
        <v>625</v>
      </c>
      <c r="F225" s="384"/>
      <c r="G225" s="503"/>
      <c r="H225" s="426"/>
      <c r="I225" s="384"/>
      <c r="J225" s="389">
        <f>J226+J232</f>
        <v>0</v>
      </c>
      <c r="K225" s="620">
        <f t="shared" ref="K225:M225" si="526">K226+K232</f>
        <v>0</v>
      </c>
      <c r="L225" s="620">
        <f t="shared" si="526"/>
        <v>0</v>
      </c>
      <c r="M225" s="620">
        <f t="shared" si="526"/>
        <v>0</v>
      </c>
      <c r="N225" s="375" t="str">
        <f>IF(J225=K225+L225+M225,"OK","viga")</f>
        <v>OK</v>
      </c>
      <c r="AC225" s="375"/>
      <c r="AD225" s="375"/>
      <c r="AE225" s="375"/>
      <c r="AF225" s="375"/>
      <c r="AG225" s="375"/>
      <c r="AH225" s="375"/>
      <c r="AI225" s="375"/>
      <c r="AJ225" s="375"/>
      <c r="AK225" s="375"/>
      <c r="AL225" s="375"/>
      <c r="AM225" s="375"/>
      <c r="AN225" s="375"/>
    </row>
    <row r="226" spans="1:49" s="390" customFormat="1" ht="10.5" outlineLevel="1" thickTop="1" x14ac:dyDescent="0.35">
      <c r="A226" s="370"/>
      <c r="B226" s="370"/>
      <c r="C226" s="370"/>
      <c r="D226" s="370"/>
      <c r="E226" s="391" t="s">
        <v>581</v>
      </c>
      <c r="F226" s="392"/>
      <c r="G226" s="392"/>
      <c r="H226" s="393"/>
      <c r="I226" s="394"/>
      <c r="J226" s="610">
        <f>J228+J230</f>
        <v>0</v>
      </c>
      <c r="K226" s="617">
        <f t="shared" ref="K226:M226" si="527">K228+K230</f>
        <v>0</v>
      </c>
      <c r="L226" s="617">
        <f t="shared" si="527"/>
        <v>0</v>
      </c>
      <c r="M226" s="617">
        <f t="shared" si="527"/>
        <v>0</v>
      </c>
      <c r="P226" s="375"/>
      <c r="Q226" s="375"/>
      <c r="R226" s="375"/>
      <c r="S226" s="375"/>
      <c r="T226" s="375"/>
      <c r="U226" s="375"/>
      <c r="V226" s="375"/>
      <c r="W226" s="375"/>
      <c r="X226" s="375"/>
      <c r="Y226" s="375"/>
      <c r="Z226" s="375"/>
      <c r="AA226" s="375"/>
      <c r="AB226" s="375"/>
      <c r="AC226" s="375"/>
      <c r="AD226" s="375"/>
      <c r="AE226" s="375"/>
      <c r="AF226" s="375"/>
      <c r="AG226" s="375"/>
      <c r="AH226" s="375"/>
      <c r="AI226" s="375"/>
      <c r="AJ226" s="375"/>
      <c r="AK226" s="375"/>
      <c r="AL226" s="375"/>
      <c r="AM226" s="375"/>
      <c r="AN226" s="375"/>
      <c r="AO226" s="375"/>
      <c r="AP226" s="375"/>
      <c r="AQ226" s="375"/>
      <c r="AR226" s="375"/>
      <c r="AS226" s="375"/>
      <c r="AT226" s="375"/>
      <c r="AU226" s="375"/>
      <c r="AV226" s="375"/>
      <c r="AW226" s="375"/>
    </row>
    <row r="227" spans="1:49" outlineLevel="1" x14ac:dyDescent="0.35">
      <c r="A227" s="376" t="s">
        <v>8</v>
      </c>
      <c r="B227" s="376" t="s">
        <v>14</v>
      </c>
      <c r="C227" s="376" t="s">
        <v>13</v>
      </c>
      <c r="D227" s="376" t="s">
        <v>6</v>
      </c>
      <c r="E227" s="377" t="s">
        <v>0</v>
      </c>
      <c r="F227" s="378" t="s">
        <v>1</v>
      </c>
      <c r="G227" s="379" t="s">
        <v>2</v>
      </c>
      <c r="H227" s="380" t="s">
        <v>3</v>
      </c>
      <c r="I227" s="380" t="s">
        <v>4</v>
      </c>
      <c r="J227" s="609" t="s">
        <v>52</v>
      </c>
      <c r="K227" s="623"/>
      <c r="L227" s="623"/>
      <c r="M227" s="623"/>
      <c r="N227" s="390"/>
      <c r="O227" s="395" t="s">
        <v>181</v>
      </c>
      <c r="P227" s="382">
        <v>2024</v>
      </c>
      <c r="Q227" s="382">
        <v>2025</v>
      </c>
      <c r="R227" s="382">
        <v>2026</v>
      </c>
      <c r="S227" s="382">
        <v>2027</v>
      </c>
      <c r="T227" s="383">
        <v>2028</v>
      </c>
      <c r="U227" s="383">
        <v>2029</v>
      </c>
      <c r="V227" s="383">
        <v>2030</v>
      </c>
      <c r="W227" s="383">
        <v>2031</v>
      </c>
      <c r="X227" s="383">
        <v>2032</v>
      </c>
      <c r="Y227" s="383">
        <v>2033</v>
      </c>
      <c r="Z227" s="383">
        <v>2034</v>
      </c>
      <c r="AA227" s="383">
        <v>2035</v>
      </c>
      <c r="AC227" s="382">
        <v>2024</v>
      </c>
      <c r="AD227" s="382">
        <v>2025</v>
      </c>
      <c r="AE227" s="382">
        <v>2026</v>
      </c>
      <c r="AF227" s="382">
        <v>2027</v>
      </c>
      <c r="AG227" s="383">
        <v>2028</v>
      </c>
      <c r="AH227" s="383">
        <v>2029</v>
      </c>
      <c r="AI227" s="383">
        <v>2030</v>
      </c>
      <c r="AJ227" s="383">
        <v>2031</v>
      </c>
      <c r="AK227" s="383">
        <v>2032</v>
      </c>
      <c r="AL227" s="383">
        <v>2033</v>
      </c>
      <c r="AM227" s="383">
        <v>2034</v>
      </c>
      <c r="AN227" s="383">
        <v>2035</v>
      </c>
    </row>
    <row r="228" spans="1:49" outlineLevel="1" x14ac:dyDescent="0.35">
      <c r="E228" s="396" t="s">
        <v>582</v>
      </c>
      <c r="F228" s="397"/>
      <c r="G228" s="397"/>
      <c r="H228" s="398"/>
      <c r="I228" s="399"/>
      <c r="J228" s="399">
        <f>SUM(J229:J229)</f>
        <v>0</v>
      </c>
      <c r="K228" s="621">
        <f t="shared" ref="K228:M228" si="528">SUM(K229:K229)</f>
        <v>0</v>
      </c>
      <c r="L228" s="621">
        <f t="shared" si="528"/>
        <v>0</v>
      </c>
      <c r="M228" s="621">
        <f t="shared" si="528"/>
        <v>0</v>
      </c>
      <c r="O228" s="400"/>
      <c r="P228" s="400"/>
      <c r="Q228" s="400"/>
      <c r="R228" s="400"/>
      <c r="S228" s="400"/>
      <c r="T228" s="400"/>
      <c r="U228" s="400"/>
      <c r="V228" s="400"/>
      <c r="W228" s="400"/>
      <c r="X228" s="400"/>
      <c r="Y228" s="400"/>
      <c r="Z228" s="400"/>
      <c r="AA228" s="400"/>
      <c r="AC228" s="400"/>
      <c r="AD228" s="400"/>
      <c r="AE228" s="400"/>
      <c r="AF228" s="400"/>
      <c r="AG228" s="400"/>
      <c r="AH228" s="400"/>
      <c r="AI228" s="400"/>
      <c r="AJ228" s="400"/>
      <c r="AK228" s="400"/>
      <c r="AL228" s="400"/>
      <c r="AM228" s="400"/>
      <c r="AN228" s="400"/>
    </row>
    <row r="229" spans="1:49" outlineLevel="1" x14ac:dyDescent="0.35">
      <c r="A229" s="401"/>
      <c r="B229" s="401"/>
      <c r="C229" s="401"/>
      <c r="D229" s="401"/>
      <c r="E229" s="427"/>
      <c r="F229" s="432"/>
      <c r="G229" s="433"/>
      <c r="H229" s="434"/>
      <c r="I229" s="405">
        <f>G229*H229</f>
        <v>0</v>
      </c>
      <c r="J229" s="612">
        <f>yld*I229</f>
        <v>0</v>
      </c>
      <c r="K229" s="608"/>
      <c r="L229" s="608"/>
      <c r="M229" s="608"/>
      <c r="N229" s="437"/>
      <c r="O229" s="407"/>
      <c r="P229" s="408"/>
      <c r="Q229" s="408"/>
      <c r="R229" s="408"/>
      <c r="S229" s="408"/>
      <c r="T229" s="408"/>
      <c r="U229" s="408"/>
      <c r="V229" s="408"/>
      <c r="W229" s="408"/>
      <c r="X229" s="408"/>
      <c r="Y229" s="408"/>
      <c r="Z229" s="408"/>
      <c r="AA229" s="408"/>
      <c r="AC229" s="632">
        <f>IFERROR(P229*$K229/$J229,0)</f>
        <v>0</v>
      </c>
      <c r="AD229" s="632">
        <f t="shared" ref="AD229" si="529">IFERROR(Q229*$K229/$J229,0)</f>
        <v>0</v>
      </c>
      <c r="AE229" s="632">
        <f t="shared" ref="AE229" si="530">IFERROR(R229*$K229/$J229,0)</f>
        <v>0</v>
      </c>
      <c r="AF229" s="632">
        <f t="shared" ref="AF229" si="531">IFERROR(S229*$K229/$J229,0)</f>
        <v>0</v>
      </c>
      <c r="AG229" s="632">
        <f t="shared" ref="AG229" si="532">IFERROR(T229*$K229/$J229,0)</f>
        <v>0</v>
      </c>
      <c r="AH229" s="632">
        <f t="shared" ref="AH229" si="533">IFERROR(U229*$K229/$J229,0)</f>
        <v>0</v>
      </c>
      <c r="AI229" s="632">
        <f t="shared" ref="AI229" si="534">IFERROR(V229*$K229/$J229,0)</f>
        <v>0</v>
      </c>
      <c r="AJ229" s="632">
        <f t="shared" ref="AJ229" si="535">IFERROR(W229*$K229/$J229,0)</f>
        <v>0</v>
      </c>
      <c r="AK229" s="632">
        <f t="shared" ref="AK229" si="536">IFERROR(X229*$K229/$J229,0)</f>
        <v>0</v>
      </c>
      <c r="AL229" s="632">
        <f t="shared" ref="AL229" si="537">IFERROR(Y229*$K229/$J229,0)</f>
        <v>0</v>
      </c>
      <c r="AM229" s="632">
        <f t="shared" ref="AM229" si="538">IFERROR(Z229*$K229/$J229,0)</f>
        <v>0</v>
      </c>
      <c r="AN229" s="632">
        <f t="shared" ref="AN229" si="539">IFERROR(AA229*$K229/$J229,0)</f>
        <v>0</v>
      </c>
    </row>
    <row r="230" spans="1:49" s="390" customFormat="1" outlineLevel="1" x14ac:dyDescent="0.35">
      <c r="A230" s="370"/>
      <c r="B230" s="370"/>
      <c r="C230" s="370"/>
      <c r="D230" s="370"/>
      <c r="E230" s="410" t="s">
        <v>588</v>
      </c>
      <c r="F230" s="428"/>
      <c r="G230" s="428"/>
      <c r="H230" s="429"/>
      <c r="I230" s="430"/>
      <c r="J230" s="413">
        <f>SUM(J231:J231)</f>
        <v>0</v>
      </c>
      <c r="K230" s="622">
        <f t="shared" ref="K230:M230" si="540">SUM(K231:K231)</f>
        <v>0</v>
      </c>
      <c r="L230" s="622">
        <f t="shared" si="540"/>
        <v>0</v>
      </c>
      <c r="M230" s="622">
        <f t="shared" si="540"/>
        <v>0</v>
      </c>
      <c r="N230" s="375"/>
      <c r="O230" s="431"/>
      <c r="P230" s="431"/>
      <c r="Q230" s="431"/>
      <c r="R230" s="431"/>
      <c r="S230" s="431"/>
      <c r="T230" s="431"/>
      <c r="U230" s="431"/>
      <c r="V230" s="431"/>
      <c r="W230" s="431"/>
      <c r="X230" s="431"/>
      <c r="Y230" s="431"/>
      <c r="Z230" s="431"/>
      <c r="AA230" s="431"/>
      <c r="AB230" s="375"/>
      <c r="AC230" s="431"/>
      <c r="AD230" s="431"/>
      <c r="AE230" s="431"/>
      <c r="AF230" s="431"/>
      <c r="AG230" s="431"/>
      <c r="AH230" s="431"/>
      <c r="AI230" s="431"/>
      <c r="AJ230" s="431"/>
      <c r="AK230" s="431"/>
      <c r="AL230" s="431"/>
      <c r="AM230" s="431"/>
      <c r="AN230" s="431"/>
      <c r="AO230" s="375"/>
      <c r="AP230" s="375"/>
      <c r="AQ230" s="375"/>
      <c r="AR230" s="375"/>
      <c r="AS230" s="375"/>
      <c r="AT230" s="375"/>
      <c r="AU230" s="375"/>
      <c r="AV230" s="375"/>
      <c r="AW230" s="375"/>
    </row>
    <row r="231" spans="1:49" outlineLevel="1" x14ac:dyDescent="0.35">
      <c r="A231" s="401"/>
      <c r="B231" s="401"/>
      <c r="C231" s="401"/>
      <c r="D231" s="401"/>
      <c r="E231" s="427"/>
      <c r="F231" s="432"/>
      <c r="G231" s="433"/>
      <c r="H231" s="434"/>
      <c r="I231" s="405">
        <f>G231*H231</f>
        <v>0</v>
      </c>
      <c r="J231" s="612">
        <f>yld*I231</f>
        <v>0</v>
      </c>
      <c r="K231" s="608"/>
      <c r="L231" s="608"/>
      <c r="M231" s="608"/>
      <c r="O231" s="407"/>
      <c r="P231" s="408"/>
      <c r="Q231" s="408"/>
      <c r="R231" s="408"/>
      <c r="S231" s="408"/>
      <c r="T231" s="408"/>
      <c r="U231" s="408"/>
      <c r="V231" s="408"/>
      <c r="W231" s="408"/>
      <c r="X231" s="408"/>
      <c r="Y231" s="408"/>
      <c r="Z231" s="408"/>
      <c r="AA231" s="408"/>
      <c r="AC231" s="632">
        <f>IFERROR(P231*$K231/$J231,0)</f>
        <v>0</v>
      </c>
      <c r="AD231" s="632">
        <f t="shared" ref="AD231" si="541">IFERROR(Q231*$K231/$J231,0)</f>
        <v>0</v>
      </c>
      <c r="AE231" s="632">
        <f t="shared" ref="AE231" si="542">IFERROR(R231*$K231/$J231,0)</f>
        <v>0</v>
      </c>
      <c r="AF231" s="632">
        <f t="shared" ref="AF231" si="543">IFERROR(S231*$K231/$J231,0)</f>
        <v>0</v>
      </c>
      <c r="AG231" s="632">
        <f t="shared" ref="AG231" si="544">IFERROR(T231*$K231/$J231,0)</f>
        <v>0</v>
      </c>
      <c r="AH231" s="632">
        <f t="shared" ref="AH231" si="545">IFERROR(U231*$K231/$J231,0)</f>
        <v>0</v>
      </c>
      <c r="AI231" s="632">
        <f t="shared" ref="AI231" si="546">IFERROR(V231*$K231/$J231,0)</f>
        <v>0</v>
      </c>
      <c r="AJ231" s="632">
        <f t="shared" ref="AJ231" si="547">IFERROR(W231*$K231/$J231,0)</f>
        <v>0</v>
      </c>
      <c r="AK231" s="632">
        <f t="shared" ref="AK231" si="548">IFERROR(X231*$K231/$J231,0)</f>
        <v>0</v>
      </c>
      <c r="AL231" s="632">
        <f t="shared" ref="AL231" si="549">IFERROR(Y231*$K231/$J231,0)</f>
        <v>0</v>
      </c>
      <c r="AM231" s="632">
        <f t="shared" ref="AM231" si="550">IFERROR(Z231*$K231/$J231,0)</f>
        <v>0</v>
      </c>
      <c r="AN231" s="632">
        <f t="shared" ref="AN231" si="551">IFERROR(AA231*$K231/$J231,0)</f>
        <v>0</v>
      </c>
    </row>
    <row r="232" spans="1:49" ht="10" outlineLevel="1" x14ac:dyDescent="0.35">
      <c r="E232" s="420" t="s">
        <v>594</v>
      </c>
      <c r="F232" s="421"/>
      <c r="G232" s="421"/>
      <c r="H232" s="422"/>
      <c r="I232" s="423"/>
      <c r="J232" s="614">
        <f>J234+J236</f>
        <v>0</v>
      </c>
      <c r="K232" s="617">
        <f t="shared" ref="K232:M232" si="552">K234+K236</f>
        <v>0</v>
      </c>
      <c r="L232" s="617">
        <f t="shared" si="552"/>
        <v>0</v>
      </c>
      <c r="M232" s="617">
        <f t="shared" si="552"/>
        <v>0</v>
      </c>
      <c r="O232" s="375"/>
      <c r="AC232" s="375"/>
      <c r="AD232" s="375"/>
      <c r="AE232" s="375"/>
      <c r="AF232" s="375"/>
      <c r="AG232" s="375"/>
      <c r="AH232" s="375"/>
      <c r="AI232" s="375"/>
      <c r="AJ232" s="375"/>
      <c r="AK232" s="375"/>
      <c r="AL232" s="375"/>
      <c r="AM232" s="375"/>
      <c r="AN232" s="375"/>
    </row>
    <row r="233" spans="1:49" outlineLevel="1" x14ac:dyDescent="0.35">
      <c r="A233" s="376" t="s">
        <v>8</v>
      </c>
      <c r="B233" s="376" t="s">
        <v>14</v>
      </c>
      <c r="C233" s="376" t="s">
        <v>13</v>
      </c>
      <c r="D233" s="376" t="s">
        <v>6</v>
      </c>
      <c r="E233" s="377" t="s">
        <v>0</v>
      </c>
      <c r="F233" s="378" t="s">
        <v>1</v>
      </c>
      <c r="G233" s="379" t="s">
        <v>2</v>
      </c>
      <c r="H233" s="380" t="s">
        <v>3</v>
      </c>
      <c r="I233" s="380" t="s">
        <v>4</v>
      </c>
      <c r="J233" s="609" t="s">
        <v>52</v>
      </c>
      <c r="K233" s="623"/>
      <c r="L233" s="623"/>
      <c r="M233" s="623"/>
      <c r="N233" s="390"/>
      <c r="O233" s="395" t="s">
        <v>181</v>
      </c>
      <c r="P233" s="382">
        <v>2024</v>
      </c>
      <c r="Q233" s="382">
        <v>2025</v>
      </c>
      <c r="R233" s="382">
        <v>2026</v>
      </c>
      <c r="S233" s="382">
        <v>2027</v>
      </c>
      <c r="T233" s="383">
        <v>2028</v>
      </c>
      <c r="U233" s="383">
        <v>2029</v>
      </c>
      <c r="V233" s="383">
        <v>2030</v>
      </c>
      <c r="W233" s="383">
        <v>2031</v>
      </c>
      <c r="X233" s="383">
        <v>2032</v>
      </c>
      <c r="Y233" s="383">
        <v>2033</v>
      </c>
      <c r="Z233" s="383">
        <v>2034</v>
      </c>
      <c r="AA233" s="383">
        <v>2035</v>
      </c>
      <c r="AC233" s="382">
        <v>2024</v>
      </c>
      <c r="AD233" s="382">
        <v>2025</v>
      </c>
      <c r="AE233" s="382">
        <v>2026</v>
      </c>
      <c r="AF233" s="382">
        <v>2027</v>
      </c>
      <c r="AG233" s="383">
        <v>2028</v>
      </c>
      <c r="AH233" s="383">
        <v>2029</v>
      </c>
      <c r="AI233" s="383">
        <v>2030</v>
      </c>
      <c r="AJ233" s="383">
        <v>2031</v>
      </c>
      <c r="AK233" s="383">
        <v>2032</v>
      </c>
      <c r="AL233" s="383">
        <v>2033</v>
      </c>
      <c r="AM233" s="383">
        <v>2034</v>
      </c>
      <c r="AN233" s="383">
        <v>2035</v>
      </c>
    </row>
    <row r="234" spans="1:49" outlineLevel="1" x14ac:dyDescent="0.35">
      <c r="E234" s="396" t="s">
        <v>582</v>
      </c>
      <c r="F234" s="397"/>
      <c r="G234" s="397"/>
      <c r="H234" s="398"/>
      <c r="I234" s="399"/>
      <c r="J234" s="399">
        <f>SUM(J235:J235)</f>
        <v>0</v>
      </c>
      <c r="K234" s="621">
        <f t="shared" ref="K234:M234" si="553">SUM(K235:K235)</f>
        <v>0</v>
      </c>
      <c r="L234" s="621">
        <f t="shared" si="553"/>
        <v>0</v>
      </c>
      <c r="M234" s="621">
        <f t="shared" si="553"/>
        <v>0</v>
      </c>
      <c r="O234" s="400"/>
      <c r="P234" s="400"/>
      <c r="Q234" s="400"/>
      <c r="R234" s="400"/>
      <c r="S234" s="400"/>
      <c r="T234" s="400"/>
      <c r="U234" s="400"/>
      <c r="V234" s="400"/>
      <c r="W234" s="400"/>
      <c r="X234" s="400"/>
      <c r="Y234" s="400"/>
      <c r="Z234" s="400"/>
      <c r="AA234" s="400"/>
      <c r="AC234" s="400"/>
      <c r="AD234" s="400"/>
      <c r="AE234" s="400"/>
      <c r="AF234" s="400"/>
      <c r="AG234" s="400"/>
      <c r="AH234" s="400"/>
      <c r="AI234" s="400"/>
      <c r="AJ234" s="400"/>
      <c r="AK234" s="400"/>
      <c r="AL234" s="400"/>
      <c r="AM234" s="400"/>
      <c r="AN234" s="400"/>
    </row>
    <row r="235" spans="1:49" outlineLevel="1" x14ac:dyDescent="0.35">
      <c r="A235" s="401"/>
      <c r="B235" s="401"/>
      <c r="C235" s="401"/>
      <c r="D235" s="401"/>
      <c r="E235" s="427"/>
      <c r="F235" s="432"/>
      <c r="G235" s="433"/>
      <c r="H235" s="434"/>
      <c r="I235" s="405">
        <f>G235*H235</f>
        <v>0</v>
      </c>
      <c r="J235" s="612">
        <f>yld*I235</f>
        <v>0</v>
      </c>
      <c r="K235" s="608"/>
      <c r="L235" s="608"/>
      <c r="M235" s="608"/>
      <c r="N235" s="406"/>
      <c r="O235" s="407"/>
      <c r="P235" s="408"/>
      <c r="Q235" s="408"/>
      <c r="R235" s="408"/>
      <c r="S235" s="408"/>
      <c r="T235" s="408"/>
      <c r="U235" s="408"/>
      <c r="V235" s="408"/>
      <c r="W235" s="408"/>
      <c r="X235" s="408"/>
      <c r="Y235" s="408"/>
      <c r="Z235" s="408"/>
      <c r="AA235" s="408"/>
      <c r="AC235" s="632">
        <f>IFERROR(P235*$K235/$J235,0)</f>
        <v>0</v>
      </c>
      <c r="AD235" s="632">
        <f t="shared" ref="AD235" si="554">IFERROR(Q235*$K235/$J235,0)</f>
        <v>0</v>
      </c>
      <c r="AE235" s="632">
        <f t="shared" ref="AE235" si="555">IFERROR(R235*$K235/$J235,0)</f>
        <v>0</v>
      </c>
      <c r="AF235" s="632">
        <f t="shared" ref="AF235" si="556">IFERROR(S235*$K235/$J235,0)</f>
        <v>0</v>
      </c>
      <c r="AG235" s="632">
        <f t="shared" ref="AG235" si="557">IFERROR(T235*$K235/$J235,0)</f>
        <v>0</v>
      </c>
      <c r="AH235" s="632">
        <f t="shared" ref="AH235" si="558">IFERROR(U235*$K235/$J235,0)</f>
        <v>0</v>
      </c>
      <c r="AI235" s="632">
        <f t="shared" ref="AI235" si="559">IFERROR(V235*$K235/$J235,0)</f>
        <v>0</v>
      </c>
      <c r="AJ235" s="632">
        <f t="shared" ref="AJ235" si="560">IFERROR(W235*$K235/$J235,0)</f>
        <v>0</v>
      </c>
      <c r="AK235" s="632">
        <f t="shared" ref="AK235" si="561">IFERROR(X235*$K235/$J235,0)</f>
        <v>0</v>
      </c>
      <c r="AL235" s="632">
        <f t="shared" ref="AL235" si="562">IFERROR(Y235*$K235/$J235,0)</f>
        <v>0</v>
      </c>
      <c r="AM235" s="632">
        <f t="shared" ref="AM235" si="563">IFERROR(Z235*$K235/$J235,0)</f>
        <v>0</v>
      </c>
      <c r="AN235" s="632">
        <f t="shared" ref="AN235" si="564">IFERROR(AA235*$K235/$J235,0)</f>
        <v>0</v>
      </c>
    </row>
    <row r="236" spans="1:49" outlineLevel="1" x14ac:dyDescent="0.35">
      <c r="E236" s="410" t="s">
        <v>588</v>
      </c>
      <c r="F236" s="428"/>
      <c r="G236" s="428"/>
      <c r="H236" s="429"/>
      <c r="I236" s="430"/>
      <c r="J236" s="413">
        <f>SUM(J237:J237)</f>
        <v>0</v>
      </c>
      <c r="K236" s="622">
        <f t="shared" ref="K236:M236" si="565">SUM(K237:K237)</f>
        <v>0</v>
      </c>
      <c r="L236" s="622">
        <f t="shared" si="565"/>
        <v>0</v>
      </c>
      <c r="M236" s="622">
        <f t="shared" si="565"/>
        <v>0</v>
      </c>
      <c r="O236" s="431"/>
      <c r="P236" s="431"/>
      <c r="Q236" s="431"/>
      <c r="R236" s="431"/>
      <c r="S236" s="431"/>
      <c r="T236" s="431"/>
      <c r="U236" s="431"/>
      <c r="V236" s="431"/>
      <c r="W236" s="431"/>
      <c r="X236" s="431"/>
      <c r="Y236" s="431"/>
      <c r="Z236" s="431"/>
      <c r="AA236" s="431"/>
      <c r="AC236" s="431"/>
      <c r="AD236" s="431"/>
      <c r="AE236" s="431"/>
      <c r="AF236" s="431"/>
      <c r="AG236" s="431"/>
      <c r="AH236" s="431"/>
      <c r="AI236" s="431"/>
      <c r="AJ236" s="431"/>
      <c r="AK236" s="431"/>
      <c r="AL236" s="431"/>
      <c r="AM236" s="431"/>
      <c r="AN236" s="431"/>
    </row>
    <row r="237" spans="1:49" outlineLevel="1" x14ac:dyDescent="0.35">
      <c r="A237" s="401"/>
      <c r="B237" s="401"/>
      <c r="C237" s="401"/>
      <c r="D237" s="401"/>
      <c r="E237" s="427"/>
      <c r="F237" s="432"/>
      <c r="G237" s="433"/>
      <c r="H237" s="434"/>
      <c r="I237" s="405">
        <f>G237*H237</f>
        <v>0</v>
      </c>
      <c r="J237" s="612">
        <f>yld*I237</f>
        <v>0</v>
      </c>
      <c r="K237" s="608"/>
      <c r="L237" s="608"/>
      <c r="M237" s="608"/>
      <c r="O237" s="407"/>
      <c r="P237" s="408"/>
      <c r="Q237" s="408"/>
      <c r="R237" s="408"/>
      <c r="S237" s="408"/>
      <c r="T237" s="408"/>
      <c r="U237" s="408"/>
      <c r="V237" s="408"/>
      <c r="W237" s="408"/>
      <c r="X237" s="408"/>
      <c r="Y237" s="408"/>
      <c r="Z237" s="408"/>
      <c r="AA237" s="408"/>
      <c r="AC237" s="632">
        <f>IFERROR(P237*$K237/$J237,0)</f>
        <v>0</v>
      </c>
      <c r="AD237" s="632">
        <f t="shared" ref="AD237" si="566">IFERROR(Q237*$K237/$J237,0)</f>
        <v>0</v>
      </c>
      <c r="AE237" s="632">
        <f t="shared" ref="AE237" si="567">IFERROR(R237*$K237/$J237,0)</f>
        <v>0</v>
      </c>
      <c r="AF237" s="632">
        <f t="shared" ref="AF237" si="568">IFERROR(S237*$K237/$J237,0)</f>
        <v>0</v>
      </c>
      <c r="AG237" s="632">
        <f t="shared" ref="AG237" si="569">IFERROR(T237*$K237/$J237,0)</f>
        <v>0</v>
      </c>
      <c r="AH237" s="632">
        <f t="shared" ref="AH237" si="570">IFERROR(U237*$K237/$J237,0)</f>
        <v>0</v>
      </c>
      <c r="AI237" s="632">
        <f t="shared" ref="AI237" si="571">IFERROR(V237*$K237/$J237,0)</f>
        <v>0</v>
      </c>
      <c r="AJ237" s="632">
        <f t="shared" ref="AJ237" si="572">IFERROR(W237*$K237/$J237,0)</f>
        <v>0</v>
      </c>
      <c r="AK237" s="632">
        <f t="shared" ref="AK237" si="573">IFERROR(X237*$K237/$J237,0)</f>
        <v>0</v>
      </c>
      <c r="AL237" s="632">
        <f t="shared" ref="AL237" si="574">IFERROR(Y237*$K237/$J237,0)</f>
        <v>0</v>
      </c>
      <c r="AM237" s="632">
        <f t="shared" ref="AM237" si="575">IFERROR(Z237*$K237/$J237,0)</f>
        <v>0</v>
      </c>
      <c r="AN237" s="632">
        <f t="shared" ref="AN237" si="576">IFERROR(AA237*$K237/$J237,0)</f>
        <v>0</v>
      </c>
    </row>
    <row r="238" spans="1:49" s="390" customFormat="1" ht="10" x14ac:dyDescent="0.35">
      <c r="A238" s="370"/>
      <c r="B238" s="370"/>
      <c r="C238" s="370"/>
      <c r="D238" s="370"/>
      <c r="E238" s="481" t="s">
        <v>659</v>
      </c>
      <c r="F238" s="482"/>
      <c r="G238" s="482"/>
      <c r="H238" s="483"/>
      <c r="I238" s="484"/>
      <c r="J238" s="611">
        <f>J240+J249</f>
        <v>3397617.5</v>
      </c>
      <c r="K238" s="607"/>
      <c r="L238" s="607"/>
      <c r="M238" s="607"/>
      <c r="N238" s="436" t="s">
        <v>626</v>
      </c>
      <c r="O238" s="375"/>
      <c r="P238" s="375"/>
      <c r="Q238" s="375"/>
      <c r="R238" s="375"/>
      <c r="S238" s="375"/>
      <c r="T238" s="375"/>
      <c r="U238" s="375"/>
      <c r="V238" s="375"/>
      <c r="W238" s="375"/>
      <c r="X238" s="375"/>
      <c r="Y238" s="375"/>
      <c r="Z238" s="375"/>
      <c r="AA238" s="375"/>
      <c r="AC238" s="375"/>
      <c r="AD238" s="375"/>
      <c r="AE238" s="375"/>
      <c r="AF238" s="375"/>
      <c r="AG238" s="375"/>
      <c r="AH238" s="375"/>
      <c r="AI238" s="375"/>
      <c r="AJ238" s="375"/>
      <c r="AK238" s="375"/>
      <c r="AL238" s="375"/>
      <c r="AM238" s="375"/>
      <c r="AN238" s="375"/>
      <c r="AO238" s="375"/>
      <c r="AP238" s="375"/>
      <c r="AQ238" s="375"/>
      <c r="AR238" s="375"/>
      <c r="AS238" s="375"/>
      <c r="AT238" s="375"/>
      <c r="AU238" s="375"/>
      <c r="AV238" s="375"/>
      <c r="AW238" s="375"/>
    </row>
    <row r="239" spans="1:49" x14ac:dyDescent="0.35">
      <c r="E239" s="377" t="s">
        <v>0</v>
      </c>
      <c r="F239" s="378" t="s">
        <v>1</v>
      </c>
      <c r="G239" s="379" t="s">
        <v>2</v>
      </c>
      <c r="H239" s="380" t="s">
        <v>3</v>
      </c>
      <c r="I239" s="380" t="s">
        <v>4</v>
      </c>
      <c r="J239" s="609" t="s">
        <v>52</v>
      </c>
      <c r="K239" s="606"/>
      <c r="L239" s="606"/>
      <c r="M239" s="606"/>
      <c r="N239" s="390"/>
      <c r="P239" s="390"/>
      <c r="Q239" s="390"/>
      <c r="R239" s="390"/>
      <c r="S239" s="390"/>
      <c r="T239" s="390"/>
      <c r="U239" s="390"/>
      <c r="V239" s="390"/>
      <c r="W239" s="390"/>
      <c r="X239" s="390"/>
      <c r="Y239" s="390"/>
      <c r="Z239" s="390"/>
      <c r="AA239" s="390"/>
      <c r="AC239" s="390"/>
      <c r="AD239" s="390"/>
      <c r="AE239" s="390"/>
      <c r="AF239" s="390"/>
      <c r="AG239" s="390"/>
      <c r="AH239" s="390"/>
      <c r="AI239" s="390"/>
      <c r="AJ239" s="390"/>
      <c r="AK239" s="390"/>
      <c r="AL239" s="390"/>
      <c r="AM239" s="390"/>
      <c r="AN239" s="390"/>
    </row>
    <row r="240" spans="1:49" x14ac:dyDescent="0.35">
      <c r="E240" s="396" t="s">
        <v>582</v>
      </c>
      <c r="F240" s="397"/>
      <c r="G240" s="397"/>
      <c r="H240" s="398"/>
      <c r="I240" s="399">
        <f>SUM(I241:I248)</f>
        <v>1036800</v>
      </c>
      <c r="J240" s="399">
        <f>SUM(J241:J248)</f>
        <v>1192320</v>
      </c>
      <c r="K240" s="625"/>
      <c r="L240" s="625"/>
      <c r="M240" s="625"/>
    </row>
    <row r="241" spans="1:49" ht="19" x14ac:dyDescent="0.35">
      <c r="A241" s="517" t="s">
        <v>737</v>
      </c>
      <c r="B241" s="517" t="s">
        <v>15</v>
      </c>
      <c r="C241" s="517"/>
      <c r="D241" s="517" t="s">
        <v>433</v>
      </c>
      <c r="E241" s="140" t="s">
        <v>627</v>
      </c>
      <c r="F241" s="402" t="s">
        <v>585</v>
      </c>
      <c r="G241" s="403">
        <v>1</v>
      </c>
      <c r="H241" s="417">
        <f>Ühikhinnad!$L$55</f>
        <v>460000</v>
      </c>
      <c r="I241" s="405">
        <f t="shared" ref="I241:I248" si="577">G241*H241</f>
        <v>460000</v>
      </c>
      <c r="J241" s="612">
        <f t="shared" ref="J241:J248" si="578">yld*I241</f>
        <v>529000</v>
      </c>
      <c r="K241" s="608"/>
      <c r="L241" s="608"/>
      <c r="M241" s="608"/>
    </row>
    <row r="242" spans="1:49" x14ac:dyDescent="0.35">
      <c r="A242" s="517" t="s">
        <v>737</v>
      </c>
      <c r="B242" s="517" t="s">
        <v>15</v>
      </c>
      <c r="C242" s="517"/>
      <c r="D242" s="517" t="s">
        <v>433</v>
      </c>
      <c r="E242" s="140" t="s">
        <v>771</v>
      </c>
      <c r="F242" s="402" t="s">
        <v>9</v>
      </c>
      <c r="G242" s="403">
        <v>2320</v>
      </c>
      <c r="H242" s="404">
        <f>Ühikhinnad!$C$3</f>
        <v>80</v>
      </c>
      <c r="I242" s="405">
        <f t="shared" si="577"/>
        <v>185600</v>
      </c>
      <c r="J242" s="612">
        <f t="shared" si="578"/>
        <v>213439.99999999997</v>
      </c>
      <c r="K242" s="608"/>
      <c r="L242" s="608"/>
      <c r="M242" s="608"/>
    </row>
    <row r="243" spans="1:49" x14ac:dyDescent="0.35">
      <c r="A243" s="517" t="s">
        <v>737</v>
      </c>
      <c r="B243" s="517" t="s">
        <v>15</v>
      </c>
      <c r="C243" s="517"/>
      <c r="D243" s="517" t="s">
        <v>433</v>
      </c>
      <c r="E243" s="140" t="s">
        <v>767</v>
      </c>
      <c r="F243" s="402" t="s">
        <v>9</v>
      </c>
      <c r="G243" s="403">
        <v>1530</v>
      </c>
      <c r="H243" s="404">
        <f>Ühikhinnad!$C$3</f>
        <v>80</v>
      </c>
      <c r="I243" s="405">
        <f t="shared" si="577"/>
        <v>122400</v>
      </c>
      <c r="J243" s="612">
        <f t="shared" si="578"/>
        <v>140760</v>
      </c>
      <c r="K243" s="608"/>
      <c r="L243" s="608"/>
      <c r="M243" s="608"/>
    </row>
    <row r="244" spans="1:49" x14ac:dyDescent="0.35">
      <c r="A244" s="517" t="s">
        <v>737</v>
      </c>
      <c r="B244" s="517" t="s">
        <v>15</v>
      </c>
      <c r="C244" s="517"/>
      <c r="D244" s="517" t="s">
        <v>433</v>
      </c>
      <c r="E244" s="140" t="s">
        <v>768</v>
      </c>
      <c r="F244" s="402" t="s">
        <v>9</v>
      </c>
      <c r="G244" s="403">
        <v>1150</v>
      </c>
      <c r="H244" s="404">
        <f>Ühikhinnad!$C$3</f>
        <v>80</v>
      </c>
      <c r="I244" s="405">
        <f t="shared" si="577"/>
        <v>92000</v>
      </c>
      <c r="J244" s="612">
        <f t="shared" si="578"/>
        <v>105799.99999999999</v>
      </c>
      <c r="K244" s="608"/>
      <c r="L244" s="608"/>
      <c r="M244" s="608"/>
    </row>
    <row r="245" spans="1:49" x14ac:dyDescent="0.35">
      <c r="A245" s="517" t="s">
        <v>737</v>
      </c>
      <c r="B245" s="517" t="s">
        <v>15</v>
      </c>
      <c r="C245" s="517"/>
      <c r="D245" s="517" t="s">
        <v>433</v>
      </c>
      <c r="E245" s="140" t="s">
        <v>1021</v>
      </c>
      <c r="F245" s="402" t="s">
        <v>9</v>
      </c>
      <c r="G245" s="403">
        <v>1500</v>
      </c>
      <c r="H245" s="404">
        <f>Ühikhinnad!$C$3</f>
        <v>80</v>
      </c>
      <c r="I245" s="405">
        <f t="shared" ref="I245" si="579">G245*H245</f>
        <v>120000</v>
      </c>
      <c r="J245" s="612">
        <f t="shared" ref="J245" si="580">yld*I245</f>
        <v>138000</v>
      </c>
      <c r="K245" s="608"/>
      <c r="L245" s="608"/>
      <c r="M245" s="608"/>
    </row>
    <row r="246" spans="1:49" x14ac:dyDescent="0.35">
      <c r="A246" s="517" t="s">
        <v>737</v>
      </c>
      <c r="B246" s="517" t="s">
        <v>15</v>
      </c>
      <c r="C246" s="517"/>
      <c r="D246" s="517" t="s">
        <v>433</v>
      </c>
      <c r="E246" s="140" t="s">
        <v>769</v>
      </c>
      <c r="F246" s="402" t="s">
        <v>9</v>
      </c>
      <c r="G246" s="403">
        <v>160</v>
      </c>
      <c r="H246" s="404">
        <f>Ühikhinnad!$C$3</f>
        <v>80</v>
      </c>
      <c r="I246" s="405">
        <f t="shared" si="577"/>
        <v>12800</v>
      </c>
      <c r="J246" s="612">
        <f t="shared" si="578"/>
        <v>14719.999999999998</v>
      </c>
      <c r="K246" s="608"/>
      <c r="L246" s="608"/>
      <c r="M246" s="608"/>
    </row>
    <row r="247" spans="1:49" x14ac:dyDescent="0.35">
      <c r="A247" s="517" t="s">
        <v>737</v>
      </c>
      <c r="B247" s="517" t="s">
        <v>15</v>
      </c>
      <c r="C247" s="517"/>
      <c r="D247" s="517" t="s">
        <v>433</v>
      </c>
      <c r="E247" s="140" t="s">
        <v>770</v>
      </c>
      <c r="F247" s="402" t="s">
        <v>9</v>
      </c>
      <c r="G247" s="403">
        <v>150</v>
      </c>
      <c r="H247" s="404">
        <f>Ühikhinnad!$C$3</f>
        <v>80</v>
      </c>
      <c r="I247" s="405">
        <f t="shared" si="577"/>
        <v>12000</v>
      </c>
      <c r="J247" s="612">
        <f t="shared" si="578"/>
        <v>13799.999999999998</v>
      </c>
      <c r="K247" s="608"/>
      <c r="L247" s="608"/>
      <c r="M247" s="608"/>
    </row>
    <row r="248" spans="1:49" x14ac:dyDescent="0.35">
      <c r="A248" s="517" t="s">
        <v>737</v>
      </c>
      <c r="B248" s="517" t="s">
        <v>15</v>
      </c>
      <c r="C248" s="517"/>
      <c r="D248" s="517" t="s">
        <v>433</v>
      </c>
      <c r="E248" s="140" t="s">
        <v>781</v>
      </c>
      <c r="F248" s="402" t="s">
        <v>9</v>
      </c>
      <c r="G248" s="403">
        <v>400</v>
      </c>
      <c r="H248" s="404">
        <f>Ühikhinnad!$C$3</f>
        <v>80</v>
      </c>
      <c r="I248" s="405">
        <f t="shared" si="577"/>
        <v>32000</v>
      </c>
      <c r="J248" s="612">
        <f t="shared" si="578"/>
        <v>36800</v>
      </c>
      <c r="K248" s="608"/>
      <c r="L248" s="608"/>
      <c r="M248" s="608"/>
    </row>
    <row r="249" spans="1:49" s="390" customFormat="1" x14ac:dyDescent="0.35">
      <c r="A249" s="517"/>
      <c r="B249" s="517"/>
      <c r="C249" s="517"/>
      <c r="D249" s="517"/>
      <c r="E249" s="410" t="s">
        <v>588</v>
      </c>
      <c r="F249" s="411"/>
      <c r="G249" s="411"/>
      <c r="H249" s="412"/>
      <c r="I249" s="413">
        <f>SUM(I250:I267)</f>
        <v>1917650</v>
      </c>
      <c r="J249" s="413">
        <f>SUM(J250:J267)</f>
        <v>2205297.5</v>
      </c>
      <c r="K249" s="625"/>
      <c r="L249" s="625"/>
      <c r="M249" s="625"/>
      <c r="N249" s="414"/>
      <c r="Y249" s="414"/>
      <c r="Z249" s="414"/>
      <c r="AA249" s="414"/>
      <c r="AC249" s="634"/>
      <c r="AD249" s="634"/>
      <c r="AE249" s="634"/>
      <c r="AF249" s="634"/>
      <c r="AG249" s="634"/>
      <c r="AH249" s="634"/>
      <c r="AI249" s="634"/>
      <c r="AJ249" s="634"/>
      <c r="AK249" s="634"/>
      <c r="AL249" s="418"/>
      <c r="AM249" s="418"/>
      <c r="AN249" s="418"/>
      <c r="AO249" s="375"/>
      <c r="AP249" s="375"/>
      <c r="AQ249" s="375"/>
      <c r="AR249" s="375"/>
      <c r="AS249" s="375"/>
      <c r="AT249" s="375"/>
      <c r="AU249" s="375"/>
      <c r="AV249" s="375"/>
      <c r="AW249" s="375"/>
    </row>
    <row r="250" spans="1:49" x14ac:dyDescent="0.35">
      <c r="A250" s="517" t="s">
        <v>737</v>
      </c>
      <c r="B250" s="517" t="s">
        <v>17</v>
      </c>
      <c r="C250" s="517"/>
      <c r="D250" s="517" t="s">
        <v>433</v>
      </c>
      <c r="E250" s="140" t="s">
        <v>777</v>
      </c>
      <c r="F250" s="432" t="s">
        <v>585</v>
      </c>
      <c r="G250" s="403">
        <v>1</v>
      </c>
      <c r="H250" s="417">
        <f>Ühikhinnad!$C$18</f>
        <v>185250</v>
      </c>
      <c r="I250" s="405">
        <f t="shared" ref="I250:I263" si="581">G250*H250</f>
        <v>185250</v>
      </c>
      <c r="J250" s="612">
        <f t="shared" ref="J250:J263" si="582">yld*I250</f>
        <v>213037.49999999997</v>
      </c>
      <c r="K250" s="608"/>
      <c r="L250" s="608"/>
      <c r="M250" s="608"/>
      <c r="N250" s="418"/>
      <c r="Y250" s="418"/>
      <c r="Z250" s="418"/>
      <c r="AA250" s="418"/>
    </row>
    <row r="251" spans="1:49" x14ac:dyDescent="0.35">
      <c r="A251" s="517" t="s">
        <v>737</v>
      </c>
      <c r="B251" s="517" t="s">
        <v>17</v>
      </c>
      <c r="C251" s="517"/>
      <c r="D251" s="517" t="s">
        <v>433</v>
      </c>
      <c r="E251" s="140" t="s">
        <v>779</v>
      </c>
      <c r="F251" s="432" t="s">
        <v>9</v>
      </c>
      <c r="G251" s="403">
        <v>20</v>
      </c>
      <c r="H251" s="404">
        <f>Ühikhinnad!$C$4</f>
        <v>160</v>
      </c>
      <c r="I251" s="405">
        <f t="shared" si="581"/>
        <v>3200</v>
      </c>
      <c r="J251" s="612">
        <f t="shared" si="582"/>
        <v>3679.9999999999995</v>
      </c>
      <c r="K251" s="608"/>
      <c r="L251" s="608"/>
      <c r="M251" s="608"/>
      <c r="N251" s="418"/>
      <c r="Y251" s="418"/>
      <c r="Z251" s="418"/>
      <c r="AA251" s="418"/>
    </row>
    <row r="252" spans="1:49" x14ac:dyDescent="0.35">
      <c r="A252" s="517" t="s">
        <v>737</v>
      </c>
      <c r="B252" s="517" t="s">
        <v>17</v>
      </c>
      <c r="C252" s="517"/>
      <c r="D252" s="517" t="s">
        <v>433</v>
      </c>
      <c r="E252" s="140" t="s">
        <v>778</v>
      </c>
      <c r="F252" s="432" t="s">
        <v>9</v>
      </c>
      <c r="G252" s="403">
        <f>3240+630</f>
        <v>3870</v>
      </c>
      <c r="H252" s="404">
        <f>Ühikhinnad!$C$5</f>
        <v>130</v>
      </c>
      <c r="I252" s="405">
        <f t="shared" si="581"/>
        <v>503100</v>
      </c>
      <c r="J252" s="612">
        <f t="shared" si="582"/>
        <v>578565</v>
      </c>
      <c r="K252" s="608"/>
      <c r="L252" s="608"/>
      <c r="M252" s="608"/>
      <c r="N252" s="418"/>
      <c r="Y252" s="418"/>
      <c r="Z252" s="418"/>
      <c r="AA252" s="418"/>
    </row>
    <row r="253" spans="1:49" x14ac:dyDescent="0.35">
      <c r="A253" s="517" t="s">
        <v>737</v>
      </c>
      <c r="B253" s="517" t="s">
        <v>17</v>
      </c>
      <c r="C253" s="517"/>
      <c r="D253" s="517" t="s">
        <v>433</v>
      </c>
      <c r="E253" s="140" t="s">
        <v>774</v>
      </c>
      <c r="F253" s="432" t="s">
        <v>585</v>
      </c>
      <c r="G253" s="403">
        <v>1</v>
      </c>
      <c r="H253" s="434">
        <f>Ühikhinnad!$C$9</f>
        <v>75000</v>
      </c>
      <c r="I253" s="405">
        <f t="shared" si="581"/>
        <v>75000</v>
      </c>
      <c r="J253" s="612">
        <f t="shared" si="582"/>
        <v>86250</v>
      </c>
      <c r="K253" s="608"/>
      <c r="L253" s="608"/>
      <c r="M253" s="608"/>
      <c r="N253" s="418"/>
      <c r="Y253" s="418"/>
      <c r="Z253" s="418"/>
      <c r="AA253" s="418"/>
    </row>
    <row r="254" spans="1:49" x14ac:dyDescent="0.35">
      <c r="A254" s="517" t="s">
        <v>737</v>
      </c>
      <c r="B254" s="517" t="s">
        <v>17</v>
      </c>
      <c r="C254" s="517"/>
      <c r="D254" s="517" t="s">
        <v>433</v>
      </c>
      <c r="E254" s="140" t="s">
        <v>628</v>
      </c>
      <c r="F254" s="432" t="s">
        <v>9</v>
      </c>
      <c r="G254" s="403">
        <v>890</v>
      </c>
      <c r="H254" s="404">
        <f>Ühikhinnad!$C$4</f>
        <v>160</v>
      </c>
      <c r="I254" s="405">
        <f t="shared" si="581"/>
        <v>142400</v>
      </c>
      <c r="J254" s="612">
        <f t="shared" si="582"/>
        <v>163760</v>
      </c>
      <c r="K254" s="608"/>
      <c r="L254" s="608"/>
      <c r="M254" s="608"/>
      <c r="N254" s="418"/>
      <c r="Y254" s="418"/>
      <c r="Z254" s="418"/>
      <c r="AA254" s="418"/>
    </row>
    <row r="255" spans="1:49" x14ac:dyDescent="0.35">
      <c r="A255" s="517" t="s">
        <v>737</v>
      </c>
      <c r="B255" s="517" t="s">
        <v>17</v>
      </c>
      <c r="C255" s="517"/>
      <c r="D255" s="517" t="s">
        <v>433</v>
      </c>
      <c r="E255" s="140" t="s">
        <v>629</v>
      </c>
      <c r="F255" s="432" t="s">
        <v>9</v>
      </c>
      <c r="G255" s="403">
        <v>1660</v>
      </c>
      <c r="H255" s="404">
        <f>Ühikhinnad!$C$5</f>
        <v>130</v>
      </c>
      <c r="I255" s="405">
        <f t="shared" si="581"/>
        <v>215800</v>
      </c>
      <c r="J255" s="612">
        <f t="shared" si="582"/>
        <v>248169.99999999997</v>
      </c>
      <c r="K255" s="608"/>
      <c r="L255" s="608"/>
      <c r="M255" s="608"/>
      <c r="N255" s="418"/>
      <c r="Y255" s="418"/>
      <c r="Z255" s="418"/>
      <c r="AA255" s="418"/>
    </row>
    <row r="256" spans="1:49" x14ac:dyDescent="0.35">
      <c r="A256" s="517" t="s">
        <v>737</v>
      </c>
      <c r="B256" s="517" t="s">
        <v>17</v>
      </c>
      <c r="C256" s="517"/>
      <c r="D256" s="517" t="s">
        <v>433</v>
      </c>
      <c r="E256" s="140" t="s">
        <v>772</v>
      </c>
      <c r="F256" s="432" t="s">
        <v>585</v>
      </c>
      <c r="G256" s="403">
        <v>1</v>
      </c>
      <c r="H256" s="434">
        <f>Ühikhinnad!$C$9</f>
        <v>75000</v>
      </c>
      <c r="I256" s="405">
        <f t="shared" si="581"/>
        <v>75000</v>
      </c>
      <c r="J256" s="612">
        <f t="shared" si="582"/>
        <v>86250</v>
      </c>
      <c r="K256" s="608"/>
      <c r="L256" s="608"/>
      <c r="M256" s="608"/>
      <c r="N256" s="418"/>
      <c r="Y256" s="418"/>
      <c r="Z256" s="418"/>
      <c r="AA256" s="418"/>
    </row>
    <row r="257" spans="1:49" x14ac:dyDescent="0.35">
      <c r="A257" s="517" t="s">
        <v>737</v>
      </c>
      <c r="B257" s="517" t="s">
        <v>17</v>
      </c>
      <c r="C257" s="517"/>
      <c r="D257" s="517" t="s">
        <v>433</v>
      </c>
      <c r="E257" s="140" t="s">
        <v>631</v>
      </c>
      <c r="F257" s="432" t="s">
        <v>9</v>
      </c>
      <c r="G257" s="403">
        <v>1220</v>
      </c>
      <c r="H257" s="404">
        <f>Ühikhinnad!$C$4</f>
        <v>160</v>
      </c>
      <c r="I257" s="405">
        <f t="shared" si="581"/>
        <v>195200</v>
      </c>
      <c r="J257" s="612">
        <f t="shared" si="582"/>
        <v>224479.99999999997</v>
      </c>
      <c r="K257" s="608"/>
      <c r="L257" s="608"/>
      <c r="M257" s="608"/>
      <c r="N257" s="418"/>
      <c r="Y257" s="418"/>
      <c r="Z257" s="418"/>
      <c r="AA257" s="418"/>
    </row>
    <row r="258" spans="1:49" x14ac:dyDescent="0.35">
      <c r="A258" s="517" t="s">
        <v>737</v>
      </c>
      <c r="B258" s="517" t="s">
        <v>17</v>
      </c>
      <c r="C258" s="517"/>
      <c r="D258" s="517" t="s">
        <v>433</v>
      </c>
      <c r="E258" s="140" t="s">
        <v>632</v>
      </c>
      <c r="F258" s="432" t="s">
        <v>9</v>
      </c>
      <c r="G258" s="403">
        <v>480</v>
      </c>
      <c r="H258" s="404">
        <f>Ühikhinnad!$C$5</f>
        <v>130</v>
      </c>
      <c r="I258" s="405">
        <f t="shared" si="581"/>
        <v>62400</v>
      </c>
      <c r="J258" s="612">
        <f t="shared" si="582"/>
        <v>71760</v>
      </c>
      <c r="K258" s="608"/>
      <c r="L258" s="608"/>
      <c r="M258" s="608"/>
      <c r="N258" s="418"/>
      <c r="Y258" s="418"/>
      <c r="Z258" s="418"/>
      <c r="AA258" s="418"/>
    </row>
    <row r="259" spans="1:49" x14ac:dyDescent="0.35">
      <c r="A259" s="517" t="s">
        <v>737</v>
      </c>
      <c r="B259" s="517" t="s">
        <v>17</v>
      </c>
      <c r="C259" s="517"/>
      <c r="D259" s="517" t="s">
        <v>433</v>
      </c>
      <c r="E259" s="140" t="s">
        <v>783</v>
      </c>
      <c r="F259" s="432" t="s">
        <v>585</v>
      </c>
      <c r="G259" s="403">
        <v>1</v>
      </c>
      <c r="H259" s="434">
        <f>Ühikhinnad!$C$8</f>
        <v>35000</v>
      </c>
      <c r="I259" s="405">
        <f t="shared" si="581"/>
        <v>35000</v>
      </c>
      <c r="J259" s="612">
        <f t="shared" si="582"/>
        <v>40250</v>
      </c>
      <c r="K259" s="608"/>
      <c r="L259" s="608"/>
      <c r="M259" s="608"/>
      <c r="N259" s="418"/>
      <c r="Y259" s="418"/>
      <c r="Z259" s="418"/>
      <c r="AA259" s="418"/>
    </row>
    <row r="260" spans="1:49" x14ac:dyDescent="0.35">
      <c r="A260" s="517" t="s">
        <v>737</v>
      </c>
      <c r="B260" s="517" t="s">
        <v>17</v>
      </c>
      <c r="C260" s="517"/>
      <c r="D260" s="517" t="s">
        <v>433</v>
      </c>
      <c r="E260" s="140" t="s">
        <v>1020</v>
      </c>
      <c r="F260" s="432" t="s">
        <v>9</v>
      </c>
      <c r="G260" s="403">
        <v>1190</v>
      </c>
      <c r="H260" s="404">
        <f>Ühikhinnad!$C$4</f>
        <v>160</v>
      </c>
      <c r="I260" s="405">
        <f t="shared" si="581"/>
        <v>190400</v>
      </c>
      <c r="J260" s="612">
        <f t="shared" si="582"/>
        <v>218959.99999999997</v>
      </c>
      <c r="K260" s="608"/>
      <c r="L260" s="608"/>
      <c r="M260" s="608"/>
      <c r="N260" s="418"/>
      <c r="Y260" s="418"/>
      <c r="Z260" s="418"/>
      <c r="AA260" s="418"/>
    </row>
    <row r="261" spans="1:49" x14ac:dyDescent="0.35">
      <c r="A261" s="517" t="s">
        <v>737</v>
      </c>
      <c r="B261" s="517" t="s">
        <v>17</v>
      </c>
      <c r="C261" s="517"/>
      <c r="D261" s="517" t="s">
        <v>433</v>
      </c>
      <c r="E261" s="140" t="s">
        <v>630</v>
      </c>
      <c r="F261" s="432" t="s">
        <v>9</v>
      </c>
      <c r="G261" s="403">
        <v>190</v>
      </c>
      <c r="H261" s="404">
        <f>Ühikhinnad!$C$4</f>
        <v>160</v>
      </c>
      <c r="I261" s="405">
        <f t="shared" si="581"/>
        <v>30400</v>
      </c>
      <c r="J261" s="612">
        <f t="shared" si="582"/>
        <v>34960</v>
      </c>
      <c r="K261" s="608"/>
      <c r="L261" s="608"/>
      <c r="M261" s="608"/>
      <c r="N261" s="418"/>
      <c r="Y261" s="418"/>
      <c r="Z261" s="418"/>
      <c r="AA261" s="418"/>
    </row>
    <row r="262" spans="1:49" x14ac:dyDescent="0.35">
      <c r="A262" s="517" t="s">
        <v>737</v>
      </c>
      <c r="B262" s="517" t="s">
        <v>17</v>
      </c>
      <c r="C262" s="517"/>
      <c r="D262" s="517" t="s">
        <v>433</v>
      </c>
      <c r="E262" s="140" t="s">
        <v>775</v>
      </c>
      <c r="F262" s="432" t="s">
        <v>9</v>
      </c>
      <c r="G262" s="403">
        <v>280</v>
      </c>
      <c r="H262" s="404">
        <f>Ühikhinnad!$C$5</f>
        <v>130</v>
      </c>
      <c r="I262" s="405">
        <f t="shared" si="581"/>
        <v>36400</v>
      </c>
      <c r="J262" s="612">
        <f t="shared" si="582"/>
        <v>41860</v>
      </c>
      <c r="K262" s="608"/>
      <c r="L262" s="608"/>
      <c r="M262" s="608"/>
      <c r="N262" s="418"/>
      <c r="Y262" s="418"/>
      <c r="Z262" s="418"/>
      <c r="AA262" s="418"/>
    </row>
    <row r="263" spans="1:49" x14ac:dyDescent="0.35">
      <c r="A263" s="517" t="s">
        <v>737</v>
      </c>
      <c r="B263" s="517" t="s">
        <v>17</v>
      </c>
      <c r="C263" s="517"/>
      <c r="D263" s="517" t="s">
        <v>433</v>
      </c>
      <c r="E263" s="140" t="s">
        <v>776</v>
      </c>
      <c r="F263" s="432" t="s">
        <v>585</v>
      </c>
      <c r="G263" s="403">
        <v>1</v>
      </c>
      <c r="H263" s="404">
        <f>Ühikhinnad!$C$7</f>
        <v>25000</v>
      </c>
      <c r="I263" s="405">
        <f t="shared" si="581"/>
        <v>25000</v>
      </c>
      <c r="J263" s="612">
        <f t="shared" si="582"/>
        <v>28749.999999999996</v>
      </c>
      <c r="K263" s="608"/>
      <c r="L263" s="608"/>
      <c r="M263" s="608"/>
      <c r="N263" s="418"/>
      <c r="Y263" s="418"/>
      <c r="Z263" s="418"/>
      <c r="AA263" s="418"/>
    </row>
    <row r="264" spans="1:49" x14ac:dyDescent="0.35">
      <c r="A264" s="517" t="s">
        <v>737</v>
      </c>
      <c r="B264" s="517" t="s">
        <v>17</v>
      </c>
      <c r="C264" s="517"/>
      <c r="D264" s="517" t="s">
        <v>433</v>
      </c>
      <c r="E264" s="140" t="s">
        <v>773</v>
      </c>
      <c r="F264" s="432" t="s">
        <v>9</v>
      </c>
      <c r="G264" s="403">
        <v>560</v>
      </c>
      <c r="H264" s="404">
        <f>Ühikhinnad!$C$4</f>
        <v>160</v>
      </c>
      <c r="I264" s="405">
        <f t="shared" ref="I264" si="583">G264*H264</f>
        <v>89600</v>
      </c>
      <c r="J264" s="612">
        <f t="shared" ref="J264" si="584">yld*I264</f>
        <v>103039.99999999999</v>
      </c>
      <c r="K264" s="608"/>
      <c r="L264" s="608"/>
      <c r="M264" s="608"/>
      <c r="N264" s="418"/>
      <c r="Y264" s="418"/>
      <c r="Z264" s="418"/>
      <c r="AA264" s="418"/>
    </row>
    <row r="265" spans="1:49" x14ac:dyDescent="0.35">
      <c r="A265" s="517" t="s">
        <v>737</v>
      </c>
      <c r="B265" s="517" t="s">
        <v>17</v>
      </c>
      <c r="C265" s="517"/>
      <c r="D265" s="517" t="s">
        <v>433</v>
      </c>
      <c r="E265" s="140" t="s">
        <v>1022</v>
      </c>
      <c r="F265" s="432" t="s">
        <v>9</v>
      </c>
      <c r="G265" s="403">
        <v>170</v>
      </c>
      <c r="H265" s="404">
        <f>Ühikhinnad!$C$4</f>
        <v>160</v>
      </c>
      <c r="I265" s="405">
        <f t="shared" ref="I265:I267" si="585">G265*H265</f>
        <v>27200</v>
      </c>
      <c r="J265" s="612">
        <f t="shared" ref="J265:J267" si="586">yld*I265</f>
        <v>31279.999999999996</v>
      </c>
      <c r="K265" s="608"/>
      <c r="L265" s="608"/>
      <c r="M265" s="608"/>
      <c r="N265" s="418"/>
      <c r="Y265" s="418"/>
      <c r="Z265" s="418"/>
      <c r="AA265" s="418"/>
    </row>
    <row r="266" spans="1:49" x14ac:dyDescent="0.35">
      <c r="A266" s="517" t="s">
        <v>737</v>
      </c>
      <c r="B266" s="517" t="s">
        <v>17</v>
      </c>
      <c r="C266" s="517"/>
      <c r="D266" s="517" t="s">
        <v>433</v>
      </c>
      <c r="E266" s="140" t="s">
        <v>1023</v>
      </c>
      <c r="F266" s="432" t="s">
        <v>9</v>
      </c>
      <c r="G266" s="403">
        <v>10</v>
      </c>
      <c r="H266" s="404">
        <f>Ühikhinnad!$C$5</f>
        <v>130</v>
      </c>
      <c r="I266" s="405">
        <f t="shared" si="585"/>
        <v>1300</v>
      </c>
      <c r="J266" s="612">
        <f t="shared" si="586"/>
        <v>1494.9999999999998</v>
      </c>
      <c r="K266" s="608"/>
      <c r="L266" s="608"/>
      <c r="M266" s="608"/>
      <c r="N266" s="418"/>
      <c r="Y266" s="418"/>
      <c r="Z266" s="418"/>
      <c r="AA266" s="418"/>
    </row>
    <row r="267" spans="1:49" x14ac:dyDescent="0.35">
      <c r="A267" s="517" t="s">
        <v>737</v>
      </c>
      <c r="B267" s="517" t="s">
        <v>17</v>
      </c>
      <c r="C267" s="517"/>
      <c r="D267" s="517" t="s">
        <v>433</v>
      </c>
      <c r="E267" s="140" t="s">
        <v>1024</v>
      </c>
      <c r="F267" s="432" t="s">
        <v>585</v>
      </c>
      <c r="G267" s="403">
        <v>1</v>
      </c>
      <c r="H267" s="404">
        <f>Ühikhinnad!$C$7</f>
        <v>25000</v>
      </c>
      <c r="I267" s="405">
        <f t="shared" si="585"/>
        <v>25000</v>
      </c>
      <c r="J267" s="612">
        <f t="shared" si="586"/>
        <v>28749.999999999996</v>
      </c>
      <c r="K267" s="608"/>
      <c r="L267" s="608"/>
      <c r="M267" s="608"/>
      <c r="N267" s="418"/>
      <c r="Y267" s="418"/>
      <c r="Z267" s="418"/>
      <c r="AA267" s="418"/>
    </row>
    <row r="268" spans="1:49" ht="15.5" thickBot="1" x14ac:dyDescent="0.4">
      <c r="E268" s="384" t="s">
        <v>633</v>
      </c>
      <c r="F268" s="384"/>
      <c r="G268" s="503"/>
      <c r="H268" s="426"/>
      <c r="I268" s="384"/>
      <c r="J268" s="389">
        <f>J269+J276</f>
        <v>59799.999999999993</v>
      </c>
      <c r="K268" s="620">
        <f t="shared" ref="K268:M268" si="587">K269+K276</f>
        <v>0</v>
      </c>
      <c r="L268" s="620">
        <f t="shared" si="587"/>
        <v>59799.999999999993</v>
      </c>
      <c r="M268" s="620">
        <f t="shared" si="587"/>
        <v>0</v>
      </c>
      <c r="N268" s="375" t="str">
        <f>IF(J268=K268+L268+M268,"OK","viga")</f>
        <v>OK</v>
      </c>
      <c r="AC268" s="375"/>
      <c r="AD268" s="375"/>
      <c r="AE268" s="375"/>
      <c r="AF268" s="375"/>
      <c r="AG268" s="375"/>
      <c r="AH268" s="375"/>
      <c r="AI268" s="375"/>
      <c r="AJ268" s="375"/>
      <c r="AK268" s="375"/>
      <c r="AL268" s="375"/>
      <c r="AM268" s="375"/>
      <c r="AN268" s="375"/>
    </row>
    <row r="269" spans="1:49" ht="10.5" thickTop="1" x14ac:dyDescent="0.35">
      <c r="E269" s="391" t="s">
        <v>581</v>
      </c>
      <c r="F269" s="392"/>
      <c r="G269" s="392"/>
      <c r="H269" s="393"/>
      <c r="I269" s="394"/>
      <c r="J269" s="610">
        <f>J271+J274</f>
        <v>59799.999999999993</v>
      </c>
      <c r="K269" s="617">
        <f t="shared" ref="K269:M269" si="588">K271+K274</f>
        <v>0</v>
      </c>
      <c r="L269" s="617">
        <f t="shared" si="588"/>
        <v>59799.999999999993</v>
      </c>
      <c r="M269" s="617">
        <f t="shared" si="588"/>
        <v>0</v>
      </c>
      <c r="AC269" s="375"/>
      <c r="AD269" s="375"/>
      <c r="AE269" s="375"/>
      <c r="AF269" s="375"/>
      <c r="AG269" s="375"/>
      <c r="AH269" s="375"/>
      <c r="AI269" s="375"/>
      <c r="AJ269" s="375"/>
      <c r="AK269" s="375"/>
      <c r="AL269" s="375"/>
      <c r="AM269" s="375"/>
      <c r="AN269" s="375"/>
    </row>
    <row r="270" spans="1:49" s="390" customFormat="1" x14ac:dyDescent="0.35">
      <c r="A270" s="376" t="s">
        <v>8</v>
      </c>
      <c r="B270" s="376" t="s">
        <v>14</v>
      </c>
      <c r="C270" s="376" t="s">
        <v>13</v>
      </c>
      <c r="D270" s="376" t="s">
        <v>6</v>
      </c>
      <c r="E270" s="377" t="s">
        <v>0</v>
      </c>
      <c r="F270" s="378" t="s">
        <v>1</v>
      </c>
      <c r="G270" s="379" t="s">
        <v>2</v>
      </c>
      <c r="H270" s="380" t="s">
        <v>3</v>
      </c>
      <c r="I270" s="380" t="s">
        <v>4</v>
      </c>
      <c r="J270" s="609" t="s">
        <v>52</v>
      </c>
      <c r="K270" s="623"/>
      <c r="L270" s="623"/>
      <c r="M270" s="623"/>
      <c r="O270" s="395" t="s">
        <v>181</v>
      </c>
      <c r="P270" s="382">
        <v>2024</v>
      </c>
      <c r="Q270" s="382">
        <v>2025</v>
      </c>
      <c r="R270" s="382">
        <v>2026</v>
      </c>
      <c r="S270" s="382">
        <v>2027</v>
      </c>
      <c r="T270" s="383">
        <v>2028</v>
      </c>
      <c r="U270" s="383">
        <v>2029</v>
      </c>
      <c r="V270" s="383">
        <v>2030</v>
      </c>
      <c r="W270" s="383">
        <v>2031</v>
      </c>
      <c r="X270" s="383">
        <v>2032</v>
      </c>
      <c r="Y270" s="383">
        <v>2033</v>
      </c>
      <c r="Z270" s="383">
        <v>2034</v>
      </c>
      <c r="AA270" s="383">
        <v>2035</v>
      </c>
      <c r="AB270" s="375"/>
      <c r="AC270" s="382">
        <v>2024</v>
      </c>
      <c r="AD270" s="382">
        <v>2025</v>
      </c>
      <c r="AE270" s="382">
        <v>2026</v>
      </c>
      <c r="AF270" s="382">
        <v>2027</v>
      </c>
      <c r="AG270" s="383">
        <v>2028</v>
      </c>
      <c r="AH270" s="383">
        <v>2029</v>
      </c>
      <c r="AI270" s="383">
        <v>2030</v>
      </c>
      <c r="AJ270" s="383">
        <v>2031</v>
      </c>
      <c r="AK270" s="383">
        <v>2032</v>
      </c>
      <c r="AL270" s="383">
        <v>2033</v>
      </c>
      <c r="AM270" s="383">
        <v>2034</v>
      </c>
      <c r="AN270" s="383">
        <v>2035</v>
      </c>
      <c r="AO270" s="375"/>
      <c r="AP270" s="375"/>
      <c r="AQ270" s="375"/>
      <c r="AR270" s="375"/>
      <c r="AS270" s="375"/>
      <c r="AT270" s="375"/>
      <c r="AU270" s="375"/>
      <c r="AV270" s="375"/>
      <c r="AW270" s="375"/>
    </row>
    <row r="271" spans="1:49" x14ac:dyDescent="0.35">
      <c r="E271" s="396" t="s">
        <v>582</v>
      </c>
      <c r="F271" s="397"/>
      <c r="G271" s="397"/>
      <c r="H271" s="398"/>
      <c r="I271" s="399"/>
      <c r="J271" s="399">
        <f>SUM(J272:J273)</f>
        <v>59799.999999999993</v>
      </c>
      <c r="K271" s="621">
        <f t="shared" ref="K271:M271" si="589">SUM(K272:K273)</f>
        <v>0</v>
      </c>
      <c r="L271" s="621">
        <f t="shared" si="589"/>
        <v>59799.999999999993</v>
      </c>
      <c r="M271" s="621">
        <f t="shared" si="589"/>
        <v>0</v>
      </c>
      <c r="O271" s="400"/>
      <c r="P271" s="400"/>
      <c r="Q271" s="400"/>
      <c r="R271" s="400"/>
      <c r="S271" s="400"/>
      <c r="T271" s="400"/>
      <c r="U271" s="400"/>
      <c r="V271" s="400"/>
      <c r="W271" s="400"/>
      <c r="X271" s="400"/>
      <c r="Y271" s="400"/>
      <c r="Z271" s="400"/>
      <c r="AA271" s="400"/>
      <c r="AC271" s="400"/>
      <c r="AD271" s="400"/>
      <c r="AE271" s="400"/>
      <c r="AF271" s="400"/>
      <c r="AG271" s="400"/>
      <c r="AH271" s="400"/>
      <c r="AI271" s="400"/>
      <c r="AJ271" s="400"/>
      <c r="AK271" s="400"/>
      <c r="AL271" s="400"/>
      <c r="AM271" s="400"/>
      <c r="AN271" s="400"/>
    </row>
    <row r="272" spans="1:49" x14ac:dyDescent="0.35">
      <c r="A272" s="401" t="s">
        <v>583</v>
      </c>
      <c r="B272" s="401" t="s">
        <v>16</v>
      </c>
      <c r="C272" s="401" t="s">
        <v>792</v>
      </c>
      <c r="D272" s="401" t="s">
        <v>483</v>
      </c>
      <c r="E272" s="526" t="s">
        <v>780</v>
      </c>
      <c r="F272" s="402" t="s">
        <v>585</v>
      </c>
      <c r="G272" s="403">
        <v>1</v>
      </c>
      <c r="H272" s="417">
        <f>MROUND(40000*1.3,500)</f>
        <v>52000</v>
      </c>
      <c r="I272" s="405">
        <f>G272*H272</f>
        <v>52000</v>
      </c>
      <c r="J272" s="612">
        <f>yld*I272</f>
        <v>59799.999999999993</v>
      </c>
      <c r="K272" s="608">
        <f>J272-L272-M272</f>
        <v>0</v>
      </c>
      <c r="L272" s="608">
        <f>J272</f>
        <v>59799.999999999993</v>
      </c>
      <c r="M272" s="608"/>
      <c r="N272" s="406" t="s">
        <v>934</v>
      </c>
      <c r="O272" s="407">
        <v>25</v>
      </c>
      <c r="P272" s="408"/>
      <c r="Q272" s="408"/>
      <c r="R272" s="408"/>
      <c r="S272" s="408">
        <f>$J272</f>
        <v>59799.999999999993</v>
      </c>
      <c r="T272" s="408"/>
      <c r="U272" s="408"/>
      <c r="V272" s="408"/>
      <c r="W272" s="408"/>
      <c r="X272" s="408"/>
      <c r="Y272" s="408"/>
      <c r="Z272" s="408"/>
      <c r="AA272" s="408"/>
      <c r="AC272" s="632">
        <f t="shared" ref="AC272:AC273" si="590">IFERROR(P272*$K272/$J272,0)</f>
        <v>0</v>
      </c>
      <c r="AD272" s="632">
        <f t="shared" ref="AD272:AD273" si="591">IFERROR(Q272*$K272/$J272,0)</f>
        <v>0</v>
      </c>
      <c r="AE272" s="632">
        <f t="shared" ref="AE272:AE273" si="592">IFERROR(R272*$K272/$J272,0)</f>
        <v>0</v>
      </c>
      <c r="AF272" s="632">
        <f t="shared" ref="AF272:AF273" si="593">IFERROR(S272*$K272/$J272,0)</f>
        <v>0</v>
      </c>
      <c r="AG272" s="632">
        <f t="shared" ref="AG272:AG273" si="594">IFERROR(T272*$K272/$J272,0)</f>
        <v>0</v>
      </c>
      <c r="AH272" s="632">
        <f t="shared" ref="AH272:AH273" si="595">IFERROR(U272*$K272/$J272,0)</f>
        <v>0</v>
      </c>
      <c r="AI272" s="632">
        <f t="shared" ref="AI272:AI273" si="596">IFERROR(V272*$K272/$J272,0)</f>
        <v>0</v>
      </c>
      <c r="AJ272" s="632">
        <f t="shared" ref="AJ272:AJ273" si="597">IFERROR(W272*$K272/$J272,0)</f>
        <v>0</v>
      </c>
      <c r="AK272" s="632">
        <f t="shared" ref="AK272:AK273" si="598">IFERROR(X272*$K272/$J272,0)</f>
        <v>0</v>
      </c>
      <c r="AL272" s="632">
        <f t="shared" ref="AL272:AL273" si="599">IFERROR(Y272*$K272/$J272,0)</f>
        <v>0</v>
      </c>
      <c r="AM272" s="632">
        <f t="shared" ref="AM272:AM273" si="600">IFERROR(Z272*$K272/$J272,0)</f>
        <v>0</v>
      </c>
      <c r="AN272" s="632">
        <f t="shared" ref="AN272:AN273" si="601">IFERROR(AA272*$K272/$J272,0)</f>
        <v>0</v>
      </c>
    </row>
    <row r="273" spans="1:49" outlineLevel="1" x14ac:dyDescent="0.35">
      <c r="A273" s="401"/>
      <c r="B273" s="401"/>
      <c r="C273" s="401"/>
      <c r="D273" s="401"/>
      <c r="E273" s="161"/>
      <c r="F273" s="402"/>
      <c r="G273" s="403"/>
      <c r="H273" s="404"/>
      <c r="I273" s="405">
        <f>G273*H273</f>
        <v>0</v>
      </c>
      <c r="J273" s="612">
        <f>yld*I273</f>
        <v>0</v>
      </c>
      <c r="K273" s="608"/>
      <c r="L273" s="608"/>
      <c r="M273" s="608"/>
      <c r="N273" s="406"/>
      <c r="O273" s="407"/>
      <c r="P273" s="408"/>
      <c r="Q273" s="408"/>
      <c r="R273" s="408"/>
      <c r="S273" s="408"/>
      <c r="T273" s="408"/>
      <c r="U273" s="408"/>
      <c r="V273" s="408"/>
      <c r="W273" s="408"/>
      <c r="X273" s="408"/>
      <c r="Y273" s="408"/>
      <c r="Z273" s="408"/>
      <c r="AA273" s="408"/>
      <c r="AC273" s="632">
        <f t="shared" si="590"/>
        <v>0</v>
      </c>
      <c r="AD273" s="632">
        <f t="shared" si="591"/>
        <v>0</v>
      </c>
      <c r="AE273" s="632">
        <f t="shared" si="592"/>
        <v>0</v>
      </c>
      <c r="AF273" s="632">
        <f t="shared" si="593"/>
        <v>0</v>
      </c>
      <c r="AG273" s="632">
        <f t="shared" si="594"/>
        <v>0</v>
      </c>
      <c r="AH273" s="632">
        <f t="shared" si="595"/>
        <v>0</v>
      </c>
      <c r="AI273" s="632">
        <f t="shared" si="596"/>
        <v>0</v>
      </c>
      <c r="AJ273" s="632">
        <f t="shared" si="597"/>
        <v>0</v>
      </c>
      <c r="AK273" s="632">
        <f t="shared" si="598"/>
        <v>0</v>
      </c>
      <c r="AL273" s="632">
        <f t="shared" si="599"/>
        <v>0</v>
      </c>
      <c r="AM273" s="632">
        <f t="shared" si="600"/>
        <v>0</v>
      </c>
      <c r="AN273" s="632">
        <f t="shared" si="601"/>
        <v>0</v>
      </c>
    </row>
    <row r="274" spans="1:49" outlineLevel="1" x14ac:dyDescent="0.35">
      <c r="E274" s="410" t="s">
        <v>588</v>
      </c>
      <c r="F274" s="428"/>
      <c r="G274" s="428"/>
      <c r="H274" s="429"/>
      <c r="I274" s="430"/>
      <c r="J274" s="413">
        <f>SUM(J275:J275)</f>
        <v>0</v>
      </c>
      <c r="K274" s="622">
        <f t="shared" ref="K274:M274" si="602">SUM(K275:K275)</f>
        <v>0</v>
      </c>
      <c r="L274" s="622">
        <f t="shared" si="602"/>
        <v>0</v>
      </c>
      <c r="M274" s="622">
        <f t="shared" si="602"/>
        <v>0</v>
      </c>
      <c r="O274" s="431"/>
      <c r="P274" s="431"/>
      <c r="Q274" s="431"/>
      <c r="R274" s="431"/>
      <c r="S274" s="431"/>
      <c r="T274" s="431"/>
      <c r="U274" s="431"/>
      <c r="V274" s="431"/>
      <c r="W274" s="431"/>
      <c r="X274" s="431"/>
      <c r="Y274" s="431"/>
      <c r="Z274" s="431"/>
      <c r="AA274" s="431"/>
      <c r="AC274" s="431"/>
      <c r="AD274" s="431"/>
      <c r="AE274" s="431"/>
      <c r="AF274" s="431"/>
      <c r="AG274" s="431"/>
      <c r="AH274" s="431"/>
      <c r="AI274" s="431"/>
      <c r="AJ274" s="431"/>
      <c r="AK274" s="431"/>
      <c r="AL274" s="431"/>
      <c r="AM274" s="431"/>
      <c r="AN274" s="431"/>
    </row>
    <row r="275" spans="1:49" outlineLevel="1" x14ac:dyDescent="0.35">
      <c r="A275" s="401"/>
      <c r="B275" s="401"/>
      <c r="C275" s="401"/>
      <c r="D275" s="401"/>
      <c r="E275" s="161"/>
      <c r="F275" s="432"/>
      <c r="G275" s="433"/>
      <c r="H275" s="434"/>
      <c r="I275" s="405">
        <f>G275*H275</f>
        <v>0</v>
      </c>
      <c r="J275" s="612">
        <f>yld*I275</f>
        <v>0</v>
      </c>
      <c r="K275" s="608"/>
      <c r="L275" s="608"/>
      <c r="M275" s="608"/>
      <c r="O275" s="407"/>
      <c r="P275" s="408"/>
      <c r="Q275" s="408"/>
      <c r="R275" s="408"/>
      <c r="S275" s="408"/>
      <c r="T275" s="408"/>
      <c r="U275" s="408"/>
      <c r="V275" s="408"/>
      <c r="W275" s="408"/>
      <c r="X275" s="408"/>
      <c r="Y275" s="408"/>
      <c r="Z275" s="408"/>
      <c r="AA275" s="408"/>
      <c r="AC275" s="632">
        <f>IFERROR(P275*$K275/$J275,0)</f>
        <v>0</v>
      </c>
      <c r="AD275" s="632">
        <f t="shared" ref="AD275" si="603">IFERROR(Q275*$K275/$J275,0)</f>
        <v>0</v>
      </c>
      <c r="AE275" s="632">
        <f t="shared" ref="AE275" si="604">IFERROR(R275*$K275/$J275,0)</f>
        <v>0</v>
      </c>
      <c r="AF275" s="632">
        <f t="shared" ref="AF275" si="605">IFERROR(S275*$K275/$J275,0)</f>
        <v>0</v>
      </c>
      <c r="AG275" s="632">
        <f t="shared" ref="AG275" si="606">IFERROR(T275*$K275/$J275,0)</f>
        <v>0</v>
      </c>
      <c r="AH275" s="632">
        <f t="shared" ref="AH275" si="607">IFERROR(U275*$K275/$J275,0)</f>
        <v>0</v>
      </c>
      <c r="AI275" s="632">
        <f t="shared" ref="AI275" si="608">IFERROR(V275*$K275/$J275,0)</f>
        <v>0</v>
      </c>
      <c r="AJ275" s="632">
        <f t="shared" ref="AJ275" si="609">IFERROR(W275*$K275/$J275,0)</f>
        <v>0</v>
      </c>
      <c r="AK275" s="632">
        <f t="shared" ref="AK275" si="610">IFERROR(X275*$K275/$J275,0)</f>
        <v>0</v>
      </c>
      <c r="AL275" s="632">
        <f t="shared" ref="AL275" si="611">IFERROR(Y275*$K275/$J275,0)</f>
        <v>0</v>
      </c>
      <c r="AM275" s="632">
        <f t="shared" ref="AM275" si="612">IFERROR(Z275*$K275/$J275,0)</f>
        <v>0</v>
      </c>
      <c r="AN275" s="632">
        <f t="shared" ref="AN275" si="613">IFERROR(AA275*$K275/$J275,0)</f>
        <v>0</v>
      </c>
    </row>
    <row r="276" spans="1:49" ht="10.75" customHeight="1" outlineLevel="1" x14ac:dyDescent="0.35">
      <c r="E276" s="420" t="s">
        <v>594</v>
      </c>
      <c r="F276" s="421"/>
      <c r="G276" s="421"/>
      <c r="H276" s="422"/>
      <c r="I276" s="423"/>
      <c r="J276" s="614">
        <f>J278+J280</f>
        <v>0</v>
      </c>
      <c r="K276" s="617">
        <f t="shared" ref="K276:M276" si="614">K278+K280</f>
        <v>0</v>
      </c>
      <c r="L276" s="617">
        <f t="shared" si="614"/>
        <v>0</v>
      </c>
      <c r="M276" s="617">
        <f t="shared" si="614"/>
        <v>0</v>
      </c>
      <c r="N276" s="436"/>
      <c r="O276" s="375"/>
      <c r="AC276" s="375"/>
      <c r="AD276" s="375"/>
      <c r="AE276" s="375"/>
      <c r="AF276" s="375"/>
      <c r="AG276" s="375"/>
      <c r="AH276" s="375"/>
      <c r="AI276" s="375"/>
      <c r="AJ276" s="375"/>
      <c r="AK276" s="375"/>
      <c r="AL276" s="375"/>
      <c r="AM276" s="375"/>
      <c r="AN276" s="375"/>
    </row>
    <row r="277" spans="1:49" ht="10.75" customHeight="1" outlineLevel="1" x14ac:dyDescent="0.35">
      <c r="A277" s="376" t="s">
        <v>8</v>
      </c>
      <c r="B277" s="376" t="s">
        <v>14</v>
      </c>
      <c r="C277" s="376" t="s">
        <v>13</v>
      </c>
      <c r="D277" s="376" t="s">
        <v>6</v>
      </c>
      <c r="E277" s="377" t="s">
        <v>0</v>
      </c>
      <c r="F277" s="378" t="s">
        <v>1</v>
      </c>
      <c r="G277" s="379" t="s">
        <v>2</v>
      </c>
      <c r="H277" s="380" t="s">
        <v>3</v>
      </c>
      <c r="I277" s="380" t="s">
        <v>4</v>
      </c>
      <c r="J277" s="609" t="s">
        <v>52</v>
      </c>
      <c r="K277" s="623"/>
      <c r="L277" s="623"/>
      <c r="M277" s="623"/>
      <c r="N277" s="390"/>
      <c r="O277" s="395" t="s">
        <v>181</v>
      </c>
      <c r="P277" s="382">
        <v>2024</v>
      </c>
      <c r="Q277" s="382">
        <v>2025</v>
      </c>
      <c r="R277" s="382">
        <v>2026</v>
      </c>
      <c r="S277" s="382">
        <v>2027</v>
      </c>
      <c r="T277" s="383">
        <v>2028</v>
      </c>
      <c r="U277" s="383">
        <v>2029</v>
      </c>
      <c r="V277" s="383">
        <v>2030</v>
      </c>
      <c r="W277" s="383">
        <v>2031</v>
      </c>
      <c r="X277" s="383">
        <v>2032</v>
      </c>
      <c r="Y277" s="383">
        <v>2033</v>
      </c>
      <c r="Z277" s="383">
        <v>2034</v>
      </c>
      <c r="AA277" s="383">
        <v>2035</v>
      </c>
      <c r="AC277" s="382">
        <v>2024</v>
      </c>
      <c r="AD277" s="382">
        <v>2025</v>
      </c>
      <c r="AE277" s="382">
        <v>2026</v>
      </c>
      <c r="AF277" s="382">
        <v>2027</v>
      </c>
      <c r="AG277" s="383">
        <v>2028</v>
      </c>
      <c r="AH277" s="383">
        <v>2029</v>
      </c>
      <c r="AI277" s="383">
        <v>2030</v>
      </c>
      <c r="AJ277" s="383">
        <v>2031</v>
      </c>
      <c r="AK277" s="383">
        <v>2032</v>
      </c>
      <c r="AL277" s="383">
        <v>2033</v>
      </c>
      <c r="AM277" s="383">
        <v>2034</v>
      </c>
      <c r="AN277" s="383">
        <v>2035</v>
      </c>
    </row>
    <row r="278" spans="1:49" s="390" customFormat="1" outlineLevel="1" x14ac:dyDescent="0.35">
      <c r="A278" s="370"/>
      <c r="B278" s="370"/>
      <c r="C278" s="370"/>
      <c r="D278" s="370"/>
      <c r="E278" s="396" t="s">
        <v>582</v>
      </c>
      <c r="F278" s="397"/>
      <c r="G278" s="397"/>
      <c r="H278" s="398"/>
      <c r="I278" s="399"/>
      <c r="J278" s="399">
        <f>SUM(J279:J279)</f>
        <v>0</v>
      </c>
      <c r="K278" s="621">
        <f t="shared" ref="K278:M278" si="615">SUM(K279:K279)</f>
        <v>0</v>
      </c>
      <c r="L278" s="621">
        <f t="shared" si="615"/>
        <v>0</v>
      </c>
      <c r="M278" s="621">
        <f t="shared" si="615"/>
        <v>0</v>
      </c>
      <c r="N278" s="375"/>
      <c r="O278" s="400"/>
      <c r="P278" s="400"/>
      <c r="Q278" s="400"/>
      <c r="R278" s="400"/>
      <c r="S278" s="400"/>
      <c r="T278" s="400"/>
      <c r="U278" s="400"/>
      <c r="V278" s="400"/>
      <c r="W278" s="400"/>
      <c r="X278" s="400"/>
      <c r="Y278" s="400"/>
      <c r="Z278" s="400"/>
      <c r="AA278" s="400"/>
      <c r="AB278" s="375"/>
      <c r="AC278" s="400"/>
      <c r="AD278" s="400"/>
      <c r="AE278" s="400"/>
      <c r="AF278" s="400"/>
      <c r="AG278" s="400"/>
      <c r="AH278" s="400"/>
      <c r="AI278" s="400"/>
      <c r="AJ278" s="400"/>
      <c r="AK278" s="400"/>
      <c r="AL278" s="400"/>
      <c r="AM278" s="400"/>
      <c r="AN278" s="400"/>
      <c r="AO278" s="375"/>
      <c r="AP278" s="375"/>
      <c r="AQ278" s="375"/>
      <c r="AR278" s="375"/>
      <c r="AS278" s="375"/>
      <c r="AT278" s="375"/>
      <c r="AU278" s="375"/>
      <c r="AV278" s="375"/>
      <c r="AW278" s="375"/>
    </row>
    <row r="279" spans="1:49" outlineLevel="1" x14ac:dyDescent="0.35">
      <c r="A279" s="401"/>
      <c r="B279" s="401"/>
      <c r="C279" s="401"/>
      <c r="D279" s="401"/>
      <c r="E279" s="161"/>
      <c r="F279" s="402"/>
      <c r="G279" s="438"/>
      <c r="H279" s="404"/>
      <c r="I279" s="405">
        <f>G279*H279</f>
        <v>0</v>
      </c>
      <c r="J279" s="612">
        <f>yld*I279</f>
        <v>0</v>
      </c>
      <c r="K279" s="608"/>
      <c r="L279" s="608"/>
      <c r="M279" s="608"/>
      <c r="N279" s="406"/>
      <c r="O279" s="407"/>
      <c r="P279" s="408"/>
      <c r="Q279" s="408"/>
      <c r="R279" s="408"/>
      <c r="S279" s="408"/>
      <c r="T279" s="408"/>
      <c r="U279" s="408"/>
      <c r="V279" s="408"/>
      <c r="W279" s="408"/>
      <c r="X279" s="408"/>
      <c r="Y279" s="408"/>
      <c r="Z279" s="408"/>
      <c r="AA279" s="408"/>
      <c r="AC279" s="632">
        <f>IFERROR(P279*$K279/$J279,0)</f>
        <v>0</v>
      </c>
      <c r="AD279" s="632">
        <f t="shared" ref="AD279" si="616">IFERROR(Q279*$K279/$J279,0)</f>
        <v>0</v>
      </c>
      <c r="AE279" s="632">
        <f t="shared" ref="AE279" si="617">IFERROR(R279*$K279/$J279,0)</f>
        <v>0</v>
      </c>
      <c r="AF279" s="632">
        <f t="shared" ref="AF279" si="618">IFERROR(S279*$K279/$J279,0)</f>
        <v>0</v>
      </c>
      <c r="AG279" s="632">
        <f t="shared" ref="AG279" si="619">IFERROR(T279*$K279/$J279,0)</f>
        <v>0</v>
      </c>
      <c r="AH279" s="632">
        <f t="shared" ref="AH279" si="620">IFERROR(U279*$K279/$J279,0)</f>
        <v>0</v>
      </c>
      <c r="AI279" s="632">
        <f t="shared" ref="AI279" si="621">IFERROR(V279*$K279/$J279,0)</f>
        <v>0</v>
      </c>
      <c r="AJ279" s="632">
        <f t="shared" ref="AJ279" si="622">IFERROR(W279*$K279/$J279,0)</f>
        <v>0</v>
      </c>
      <c r="AK279" s="632">
        <f t="shared" ref="AK279" si="623">IFERROR(X279*$K279/$J279,0)</f>
        <v>0</v>
      </c>
      <c r="AL279" s="632">
        <f t="shared" ref="AL279" si="624">IFERROR(Y279*$K279/$J279,0)</f>
        <v>0</v>
      </c>
      <c r="AM279" s="632">
        <f t="shared" ref="AM279" si="625">IFERROR(Z279*$K279/$J279,0)</f>
        <v>0</v>
      </c>
      <c r="AN279" s="632">
        <f t="shared" ref="AN279" si="626">IFERROR(AA279*$K279/$J279,0)</f>
        <v>0</v>
      </c>
    </row>
    <row r="280" spans="1:49" outlineLevel="1" x14ac:dyDescent="0.35">
      <c r="E280" s="410" t="s">
        <v>588</v>
      </c>
      <c r="F280" s="428"/>
      <c r="G280" s="428"/>
      <c r="H280" s="429"/>
      <c r="I280" s="430"/>
      <c r="J280" s="413">
        <f>SUM(J281)</f>
        <v>0</v>
      </c>
      <c r="K280" s="622">
        <f t="shared" ref="K280:M280" si="627">SUM(K281)</f>
        <v>0</v>
      </c>
      <c r="L280" s="622">
        <f t="shared" si="627"/>
        <v>0</v>
      </c>
      <c r="M280" s="622">
        <f t="shared" si="627"/>
        <v>0</v>
      </c>
      <c r="O280" s="431"/>
      <c r="P280" s="431"/>
      <c r="Q280" s="431"/>
      <c r="R280" s="431"/>
      <c r="S280" s="431"/>
      <c r="T280" s="431"/>
      <c r="U280" s="431"/>
      <c r="V280" s="431"/>
      <c r="W280" s="431"/>
      <c r="X280" s="431"/>
      <c r="Y280" s="431"/>
      <c r="Z280" s="431"/>
      <c r="AA280" s="431"/>
      <c r="AC280" s="431"/>
      <c r="AD280" s="431"/>
      <c r="AE280" s="431"/>
      <c r="AF280" s="431"/>
      <c r="AG280" s="431"/>
      <c r="AH280" s="431"/>
      <c r="AI280" s="431"/>
      <c r="AJ280" s="431"/>
      <c r="AK280" s="431"/>
      <c r="AL280" s="431"/>
      <c r="AM280" s="431"/>
      <c r="AN280" s="431"/>
    </row>
    <row r="281" spans="1:49" outlineLevel="1" x14ac:dyDescent="0.35">
      <c r="E281" s="161"/>
      <c r="F281" s="432"/>
      <c r="G281" s="438"/>
      <c r="H281" s="434"/>
      <c r="I281" s="405">
        <f>G281*H281</f>
        <v>0</v>
      </c>
      <c r="J281" s="612">
        <f>yld*I281</f>
        <v>0</v>
      </c>
      <c r="K281" s="608"/>
      <c r="L281" s="608"/>
      <c r="M281" s="608"/>
      <c r="O281" s="407"/>
      <c r="P281" s="408"/>
      <c r="Q281" s="408"/>
      <c r="R281" s="408"/>
      <c r="S281" s="408"/>
      <c r="T281" s="408"/>
      <c r="U281" s="408"/>
      <c r="V281" s="408"/>
      <c r="W281" s="408"/>
      <c r="X281" s="408"/>
      <c r="Y281" s="408"/>
      <c r="Z281" s="408"/>
      <c r="AA281" s="408"/>
      <c r="AC281" s="632">
        <f>IFERROR(P281*$K281/$J281,0)</f>
        <v>0</v>
      </c>
      <c r="AD281" s="632">
        <f t="shared" ref="AD281" si="628">IFERROR(Q281*$K281/$J281,0)</f>
        <v>0</v>
      </c>
      <c r="AE281" s="632">
        <f t="shared" ref="AE281" si="629">IFERROR(R281*$K281/$J281,0)</f>
        <v>0</v>
      </c>
      <c r="AF281" s="632">
        <f t="shared" ref="AF281" si="630">IFERROR(S281*$K281/$J281,0)</f>
        <v>0</v>
      </c>
      <c r="AG281" s="632">
        <f t="shared" ref="AG281" si="631">IFERROR(T281*$K281/$J281,0)</f>
        <v>0</v>
      </c>
      <c r="AH281" s="632">
        <f t="shared" ref="AH281" si="632">IFERROR(U281*$K281/$J281,0)</f>
        <v>0</v>
      </c>
      <c r="AI281" s="632">
        <f t="shared" ref="AI281" si="633">IFERROR(V281*$K281/$J281,0)</f>
        <v>0</v>
      </c>
      <c r="AJ281" s="632">
        <f t="shared" ref="AJ281" si="634">IFERROR(W281*$K281/$J281,0)</f>
        <v>0</v>
      </c>
      <c r="AK281" s="632">
        <f t="shared" ref="AK281" si="635">IFERROR(X281*$K281/$J281,0)</f>
        <v>0</v>
      </c>
      <c r="AL281" s="632">
        <f t="shared" ref="AL281" si="636">IFERROR(Y281*$K281/$J281,0)</f>
        <v>0</v>
      </c>
      <c r="AM281" s="632">
        <f t="shared" ref="AM281" si="637">IFERROR(Z281*$K281/$J281,0)</f>
        <v>0</v>
      </c>
      <c r="AN281" s="632">
        <f t="shared" ref="AN281" si="638">IFERROR(AA281*$K281/$J281,0)</f>
        <v>0</v>
      </c>
    </row>
    <row r="282" spans="1:49" s="390" customFormat="1" ht="10" x14ac:dyDescent="0.35">
      <c r="A282" s="370"/>
      <c r="B282" s="370"/>
      <c r="C282" s="370"/>
      <c r="D282" s="370"/>
      <c r="E282" s="481" t="s">
        <v>659</v>
      </c>
      <c r="F282" s="482"/>
      <c r="G282" s="482"/>
      <c r="H282" s="483"/>
      <c r="I282" s="484"/>
      <c r="J282" s="611">
        <f>J284+J287</f>
        <v>1554339.9999999998</v>
      </c>
      <c r="K282" s="607"/>
      <c r="L282" s="607"/>
      <c r="M282" s="607"/>
      <c r="N282" s="436" t="s">
        <v>626</v>
      </c>
      <c r="O282" s="375"/>
      <c r="P282" s="375"/>
      <c r="Q282" s="375"/>
      <c r="R282" s="375"/>
      <c r="S282" s="375"/>
      <c r="T282" s="375"/>
      <c r="U282" s="375"/>
      <c r="V282" s="375"/>
      <c r="W282" s="375"/>
      <c r="X282" s="375"/>
      <c r="Y282" s="375"/>
      <c r="Z282" s="375"/>
      <c r="AA282" s="375"/>
      <c r="AC282" s="375"/>
      <c r="AD282" s="375"/>
      <c r="AE282" s="375"/>
      <c r="AF282" s="375"/>
      <c r="AG282" s="375"/>
      <c r="AH282" s="375"/>
      <c r="AI282" s="375"/>
      <c r="AJ282" s="375"/>
      <c r="AK282" s="375"/>
      <c r="AL282" s="375"/>
      <c r="AM282" s="375"/>
      <c r="AN282" s="375"/>
      <c r="AO282" s="375"/>
      <c r="AP282" s="375"/>
      <c r="AQ282" s="375"/>
      <c r="AR282" s="375"/>
      <c r="AS282" s="375"/>
      <c r="AT282" s="375"/>
      <c r="AU282" s="375"/>
      <c r="AV282" s="375"/>
      <c r="AW282" s="375"/>
    </row>
    <row r="283" spans="1:49" x14ac:dyDescent="0.35">
      <c r="E283" s="377" t="s">
        <v>0</v>
      </c>
      <c r="F283" s="378" t="s">
        <v>1</v>
      </c>
      <c r="G283" s="379" t="s">
        <v>2</v>
      </c>
      <c r="H283" s="380" t="s">
        <v>3</v>
      </c>
      <c r="I283" s="380" t="s">
        <v>4</v>
      </c>
      <c r="J283" s="609" t="s">
        <v>52</v>
      </c>
      <c r="K283" s="606"/>
      <c r="L283" s="606"/>
      <c r="M283" s="606"/>
      <c r="N283" s="390"/>
      <c r="P283" s="390"/>
      <c r="Q283" s="390"/>
      <c r="R283" s="390"/>
      <c r="S283" s="390"/>
      <c r="T283" s="390"/>
      <c r="U283" s="390"/>
      <c r="V283" s="390"/>
      <c r="W283" s="390"/>
      <c r="X283" s="390"/>
      <c r="Y283" s="390"/>
      <c r="Z283" s="390"/>
      <c r="AA283" s="390"/>
      <c r="AC283" s="390"/>
      <c r="AD283" s="390"/>
      <c r="AE283" s="390"/>
      <c r="AF283" s="390"/>
      <c r="AG283" s="390"/>
      <c r="AH283" s="390"/>
      <c r="AI283" s="390"/>
      <c r="AJ283" s="390"/>
      <c r="AK283" s="390"/>
      <c r="AL283" s="390"/>
      <c r="AM283" s="390"/>
      <c r="AN283" s="390"/>
    </row>
    <row r="284" spans="1:49" x14ac:dyDescent="0.35">
      <c r="E284" s="396" t="s">
        <v>582</v>
      </c>
      <c r="F284" s="397"/>
      <c r="G284" s="397"/>
      <c r="H284" s="398"/>
      <c r="I284" s="399"/>
      <c r="J284" s="399">
        <f>SUM(J285:J286)</f>
        <v>655729.99999999988</v>
      </c>
      <c r="K284" s="625"/>
      <c r="L284" s="625"/>
      <c r="M284" s="625"/>
      <c r="AC284" s="375"/>
      <c r="AD284" s="375"/>
      <c r="AE284" s="375"/>
      <c r="AF284" s="375"/>
      <c r="AG284" s="375"/>
      <c r="AH284" s="375"/>
      <c r="AI284" s="375"/>
      <c r="AJ284" s="375"/>
      <c r="AK284" s="375"/>
      <c r="AL284" s="375"/>
      <c r="AM284" s="375"/>
      <c r="AN284" s="375"/>
    </row>
    <row r="285" spans="1:49" ht="19" x14ac:dyDescent="0.35">
      <c r="A285" s="517" t="s">
        <v>737</v>
      </c>
      <c r="B285" s="517" t="s">
        <v>15</v>
      </c>
      <c r="C285" s="517"/>
      <c r="D285" s="517" t="s">
        <v>483</v>
      </c>
      <c r="E285" s="140" t="s">
        <v>1027</v>
      </c>
      <c r="F285" s="402" t="s">
        <v>585</v>
      </c>
      <c r="G285" s="403">
        <v>1</v>
      </c>
      <c r="H285" s="417">
        <f>Ühikhinnad!$K$55</f>
        <v>391000</v>
      </c>
      <c r="I285" s="405">
        <f>G285*H285</f>
        <v>391000</v>
      </c>
      <c r="J285" s="612">
        <f>yld*I285</f>
        <v>449649.99999999994</v>
      </c>
      <c r="K285" s="608"/>
      <c r="L285" s="608"/>
      <c r="M285" s="608"/>
    </row>
    <row r="286" spans="1:49" x14ac:dyDescent="0.35">
      <c r="A286" s="517" t="s">
        <v>737</v>
      </c>
      <c r="B286" s="517" t="s">
        <v>15</v>
      </c>
      <c r="C286" s="517"/>
      <c r="D286" s="517" t="s">
        <v>483</v>
      </c>
      <c r="E286" s="140" t="s">
        <v>782</v>
      </c>
      <c r="F286" s="402" t="s">
        <v>9</v>
      </c>
      <c r="G286" s="403">
        <v>2240</v>
      </c>
      <c r="H286" s="404">
        <f>Ühikhinnad!$C$3</f>
        <v>80</v>
      </c>
      <c r="I286" s="405">
        <f>G286*H286</f>
        <v>179200</v>
      </c>
      <c r="J286" s="612">
        <f>yld*I286</f>
        <v>206079.99999999997</v>
      </c>
      <c r="K286" s="608"/>
      <c r="L286" s="608"/>
      <c r="M286" s="608"/>
    </row>
    <row r="287" spans="1:49" s="390" customFormat="1" x14ac:dyDescent="0.35">
      <c r="A287" s="517"/>
      <c r="B287" s="517"/>
      <c r="C287" s="517"/>
      <c r="D287" s="517"/>
      <c r="E287" s="410" t="s">
        <v>588</v>
      </c>
      <c r="F287" s="411"/>
      <c r="G287" s="411"/>
      <c r="H287" s="412"/>
      <c r="I287" s="413"/>
      <c r="J287" s="413">
        <f>SUM(J288:J291)</f>
        <v>898609.99999999988</v>
      </c>
      <c r="K287" s="625"/>
      <c r="L287" s="625"/>
      <c r="M287" s="625"/>
      <c r="N287" s="414"/>
      <c r="Y287" s="414"/>
      <c r="Z287" s="414"/>
      <c r="AA287" s="414"/>
      <c r="AL287" s="414"/>
      <c r="AM287" s="414"/>
      <c r="AN287" s="414"/>
      <c r="AO287" s="375"/>
      <c r="AP287" s="375"/>
      <c r="AQ287" s="375"/>
      <c r="AR287" s="375"/>
      <c r="AS287" s="375"/>
      <c r="AT287" s="375"/>
      <c r="AU287" s="375"/>
      <c r="AV287" s="375"/>
      <c r="AW287" s="375"/>
    </row>
    <row r="288" spans="1:49" x14ac:dyDescent="0.35">
      <c r="A288" s="517" t="s">
        <v>737</v>
      </c>
      <c r="B288" s="517" t="s">
        <v>17</v>
      </c>
      <c r="C288" s="517"/>
      <c r="D288" s="517" t="s">
        <v>483</v>
      </c>
      <c r="E288" s="161" t="s">
        <v>615</v>
      </c>
      <c r="F288" s="402" t="s">
        <v>9</v>
      </c>
      <c r="G288" s="403">
        <v>2080</v>
      </c>
      <c r="H288" s="404">
        <f>Ühikhinnad!$C$4</f>
        <v>160</v>
      </c>
      <c r="I288" s="405">
        <f>G288*H288</f>
        <v>332800</v>
      </c>
      <c r="J288" s="612">
        <f>yld*I288</f>
        <v>382719.99999999994</v>
      </c>
      <c r="K288" s="608"/>
      <c r="L288" s="608"/>
      <c r="M288" s="608"/>
      <c r="N288" s="441"/>
      <c r="Y288" s="418"/>
      <c r="Z288" s="418"/>
      <c r="AA288" s="418"/>
    </row>
    <row r="289" spans="1:49" x14ac:dyDescent="0.35">
      <c r="A289" s="517" t="s">
        <v>737</v>
      </c>
      <c r="B289" s="517" t="s">
        <v>17</v>
      </c>
      <c r="C289" s="517"/>
      <c r="D289" s="517" t="s">
        <v>483</v>
      </c>
      <c r="E289" s="161" t="s">
        <v>789</v>
      </c>
      <c r="F289" s="402" t="s">
        <v>9</v>
      </c>
      <c r="G289" s="403">
        <v>2720</v>
      </c>
      <c r="H289" s="404">
        <f>Ühikhinnad!$C$5</f>
        <v>130</v>
      </c>
      <c r="I289" s="405">
        <f>G289*H289</f>
        <v>353600</v>
      </c>
      <c r="J289" s="612">
        <f>yld*I289</f>
        <v>406639.99999999994</v>
      </c>
      <c r="K289" s="608"/>
      <c r="L289" s="608"/>
      <c r="M289" s="608"/>
      <c r="N289" s="418"/>
      <c r="Y289" s="418"/>
      <c r="Z289" s="418"/>
      <c r="AA289" s="418"/>
    </row>
    <row r="290" spans="1:49" x14ac:dyDescent="0.35">
      <c r="A290" s="517" t="s">
        <v>737</v>
      </c>
      <c r="B290" s="517" t="s">
        <v>17</v>
      </c>
      <c r="C290" s="517"/>
      <c r="D290" s="517" t="s">
        <v>483</v>
      </c>
      <c r="E290" s="161" t="s">
        <v>1044</v>
      </c>
      <c r="F290" s="402" t="s">
        <v>5</v>
      </c>
      <c r="G290" s="403">
        <v>1</v>
      </c>
      <c r="H290" s="404">
        <v>20000</v>
      </c>
      <c r="I290" s="405">
        <f>G290*H290</f>
        <v>20000</v>
      </c>
      <c r="J290" s="612">
        <f>yld*I290</f>
        <v>23000</v>
      </c>
      <c r="K290" s="608"/>
      <c r="L290" s="608"/>
      <c r="M290" s="608"/>
      <c r="N290" s="418"/>
      <c r="Y290" s="418"/>
      <c r="Z290" s="418"/>
      <c r="AA290" s="418"/>
    </row>
    <row r="291" spans="1:49" x14ac:dyDescent="0.35">
      <c r="A291" s="517" t="s">
        <v>737</v>
      </c>
      <c r="B291" s="517" t="s">
        <v>17</v>
      </c>
      <c r="C291" s="517"/>
      <c r="D291" s="517" t="s">
        <v>483</v>
      </c>
      <c r="E291" s="161" t="s">
        <v>784</v>
      </c>
      <c r="F291" s="402" t="s">
        <v>585</v>
      </c>
      <c r="G291" s="403">
        <v>1</v>
      </c>
      <c r="H291" s="404">
        <f>Ühikhinnad!$C$9</f>
        <v>75000</v>
      </c>
      <c r="I291" s="405">
        <f>G291*H291</f>
        <v>75000</v>
      </c>
      <c r="J291" s="612">
        <f>yld*I291</f>
        <v>86250</v>
      </c>
      <c r="K291" s="608"/>
      <c r="L291" s="608"/>
      <c r="M291" s="608"/>
      <c r="O291" s="515"/>
      <c r="P291" s="516"/>
      <c r="Q291" s="516"/>
      <c r="R291" s="516"/>
      <c r="S291" s="516"/>
      <c r="T291" s="516"/>
      <c r="U291" s="516"/>
      <c r="V291" s="516"/>
      <c r="W291" s="516"/>
      <c r="X291" s="516"/>
      <c r="Y291" s="516"/>
      <c r="Z291" s="516"/>
      <c r="AA291" s="516"/>
      <c r="AC291" s="637"/>
      <c r="AD291" s="637"/>
      <c r="AE291" s="637"/>
      <c r="AF291" s="637"/>
      <c r="AG291" s="637"/>
      <c r="AH291" s="637"/>
      <c r="AI291" s="637"/>
      <c r="AJ291" s="637"/>
      <c r="AK291" s="637"/>
      <c r="AL291" s="637"/>
      <c r="AM291" s="637"/>
      <c r="AN291" s="637"/>
    </row>
    <row r="292" spans="1:49" s="390" customFormat="1" ht="15.5" thickBot="1" x14ac:dyDescent="0.4">
      <c r="A292" s="370"/>
      <c r="B292" s="370"/>
      <c r="C292" s="370"/>
      <c r="D292" s="370"/>
      <c r="E292" s="384" t="s">
        <v>634</v>
      </c>
      <c r="F292" s="384"/>
      <c r="G292" s="503"/>
      <c r="H292" s="426"/>
      <c r="I292" s="384"/>
      <c r="J292" s="389">
        <f>J293+J299</f>
        <v>0</v>
      </c>
      <c r="K292" s="620">
        <f t="shared" ref="K292:M292" si="639">K293+K299</f>
        <v>0</v>
      </c>
      <c r="L292" s="620">
        <f t="shared" si="639"/>
        <v>0</v>
      </c>
      <c r="M292" s="620">
        <f t="shared" si="639"/>
        <v>0</v>
      </c>
      <c r="N292" s="375" t="str">
        <f>IF(J292=K292+L292+M292,"OK","viga")</f>
        <v>OK</v>
      </c>
      <c r="P292" s="375"/>
      <c r="Q292" s="375"/>
      <c r="R292" s="375"/>
      <c r="S292" s="375"/>
      <c r="T292" s="375"/>
      <c r="U292" s="375"/>
      <c r="V292" s="375"/>
      <c r="W292" s="375"/>
      <c r="X292" s="375"/>
      <c r="Y292" s="375"/>
      <c r="Z292" s="375"/>
      <c r="AA292" s="375"/>
      <c r="AB292" s="375"/>
      <c r="AC292" s="375"/>
      <c r="AD292" s="375"/>
      <c r="AE292" s="375"/>
      <c r="AF292" s="375"/>
      <c r="AG292" s="375"/>
      <c r="AH292" s="375"/>
      <c r="AI292" s="375"/>
      <c r="AJ292" s="375"/>
      <c r="AK292" s="375"/>
      <c r="AL292" s="375"/>
      <c r="AM292" s="375"/>
      <c r="AN292" s="375"/>
      <c r="AO292" s="375"/>
      <c r="AP292" s="375"/>
      <c r="AQ292" s="375"/>
      <c r="AR292" s="375"/>
      <c r="AS292" s="375"/>
      <c r="AT292" s="375"/>
      <c r="AU292" s="375"/>
      <c r="AV292" s="375"/>
      <c r="AW292" s="375"/>
    </row>
    <row r="293" spans="1:49" ht="10.5" outlineLevel="1" thickTop="1" x14ac:dyDescent="0.35">
      <c r="E293" s="391" t="s">
        <v>581</v>
      </c>
      <c r="F293" s="392"/>
      <c r="G293" s="392"/>
      <c r="H293" s="393"/>
      <c r="I293" s="394"/>
      <c r="J293" s="610">
        <f>J295+J297</f>
        <v>0</v>
      </c>
      <c r="K293" s="617">
        <f t="shared" ref="K293:M293" si="640">K295+K297</f>
        <v>0</v>
      </c>
      <c r="L293" s="617">
        <f t="shared" si="640"/>
        <v>0</v>
      </c>
      <c r="M293" s="617">
        <f t="shared" si="640"/>
        <v>0</v>
      </c>
      <c r="AC293" s="375"/>
      <c r="AD293" s="375"/>
      <c r="AE293" s="375"/>
      <c r="AF293" s="375"/>
      <c r="AG293" s="375"/>
      <c r="AH293" s="375"/>
      <c r="AI293" s="375"/>
      <c r="AJ293" s="375"/>
      <c r="AK293" s="375"/>
      <c r="AL293" s="375"/>
      <c r="AM293" s="375"/>
      <c r="AN293" s="375"/>
    </row>
    <row r="294" spans="1:49" outlineLevel="1" x14ac:dyDescent="0.35">
      <c r="A294" s="376" t="s">
        <v>8</v>
      </c>
      <c r="B294" s="376" t="s">
        <v>14</v>
      </c>
      <c r="C294" s="376" t="s">
        <v>13</v>
      </c>
      <c r="D294" s="376" t="s">
        <v>6</v>
      </c>
      <c r="E294" s="377" t="s">
        <v>0</v>
      </c>
      <c r="F294" s="378" t="s">
        <v>1</v>
      </c>
      <c r="G294" s="379" t="s">
        <v>2</v>
      </c>
      <c r="H294" s="380" t="s">
        <v>3</v>
      </c>
      <c r="I294" s="380" t="s">
        <v>4</v>
      </c>
      <c r="J294" s="609" t="s">
        <v>52</v>
      </c>
      <c r="K294" s="623"/>
      <c r="L294" s="623"/>
      <c r="M294" s="623"/>
      <c r="N294" s="390"/>
      <c r="O294" s="395" t="s">
        <v>181</v>
      </c>
      <c r="P294" s="382">
        <v>2024</v>
      </c>
      <c r="Q294" s="382">
        <v>2025</v>
      </c>
      <c r="R294" s="382">
        <v>2026</v>
      </c>
      <c r="S294" s="382">
        <v>2027</v>
      </c>
      <c r="T294" s="383">
        <v>2028</v>
      </c>
      <c r="U294" s="383">
        <v>2029</v>
      </c>
      <c r="V294" s="383">
        <v>2030</v>
      </c>
      <c r="W294" s="383">
        <v>2031</v>
      </c>
      <c r="X294" s="383">
        <v>2032</v>
      </c>
      <c r="Y294" s="383">
        <v>2033</v>
      </c>
      <c r="Z294" s="383">
        <v>2034</v>
      </c>
      <c r="AA294" s="383">
        <v>2035</v>
      </c>
      <c r="AC294" s="382">
        <v>2024</v>
      </c>
      <c r="AD294" s="382">
        <v>2025</v>
      </c>
      <c r="AE294" s="382">
        <v>2026</v>
      </c>
      <c r="AF294" s="382">
        <v>2027</v>
      </c>
      <c r="AG294" s="383">
        <v>2028</v>
      </c>
      <c r="AH294" s="383">
        <v>2029</v>
      </c>
      <c r="AI294" s="383">
        <v>2030</v>
      </c>
      <c r="AJ294" s="383">
        <v>2031</v>
      </c>
      <c r="AK294" s="383">
        <v>2032</v>
      </c>
      <c r="AL294" s="383">
        <v>2033</v>
      </c>
      <c r="AM294" s="383">
        <v>2034</v>
      </c>
      <c r="AN294" s="383">
        <v>2035</v>
      </c>
    </row>
    <row r="295" spans="1:49" outlineLevel="1" x14ac:dyDescent="0.35">
      <c r="E295" s="396" t="s">
        <v>582</v>
      </c>
      <c r="F295" s="397"/>
      <c r="G295" s="397"/>
      <c r="H295" s="398"/>
      <c r="I295" s="399"/>
      <c r="J295" s="399">
        <f>SUM(J296:J296)</f>
        <v>0</v>
      </c>
      <c r="K295" s="621">
        <f t="shared" ref="K295:M295" si="641">SUM(K296:K296)</f>
        <v>0</v>
      </c>
      <c r="L295" s="621">
        <f t="shared" si="641"/>
        <v>0</v>
      </c>
      <c r="M295" s="621">
        <f t="shared" si="641"/>
        <v>0</v>
      </c>
      <c r="O295" s="400"/>
      <c r="P295" s="400"/>
      <c r="Q295" s="400"/>
      <c r="R295" s="400"/>
      <c r="S295" s="400"/>
      <c r="T295" s="400"/>
      <c r="U295" s="400"/>
      <c r="V295" s="400"/>
      <c r="W295" s="400"/>
      <c r="X295" s="400"/>
      <c r="Y295" s="400"/>
      <c r="Z295" s="400"/>
      <c r="AA295" s="400"/>
      <c r="AC295" s="400"/>
      <c r="AD295" s="400"/>
      <c r="AE295" s="400"/>
      <c r="AF295" s="400"/>
      <c r="AG295" s="400"/>
      <c r="AH295" s="400"/>
      <c r="AI295" s="400"/>
      <c r="AJ295" s="400"/>
      <c r="AK295" s="400"/>
      <c r="AL295" s="400"/>
      <c r="AM295" s="400"/>
      <c r="AN295" s="400"/>
    </row>
    <row r="296" spans="1:49" outlineLevel="1" x14ac:dyDescent="0.35">
      <c r="A296" s="401"/>
      <c r="B296" s="401"/>
      <c r="C296" s="401"/>
      <c r="D296" s="401"/>
      <c r="E296" s="161"/>
      <c r="F296" s="402"/>
      <c r="G296" s="403"/>
      <c r="H296" s="404"/>
      <c r="I296" s="405">
        <f>G296*H296</f>
        <v>0</v>
      </c>
      <c r="J296" s="612">
        <f>yld*I296</f>
        <v>0</v>
      </c>
      <c r="K296" s="608"/>
      <c r="L296" s="608"/>
      <c r="M296" s="608"/>
      <c r="N296" s="406"/>
      <c r="O296" s="407"/>
      <c r="P296" s="408"/>
      <c r="Q296" s="408"/>
      <c r="R296" s="408"/>
      <c r="S296" s="408"/>
      <c r="T296" s="408"/>
      <c r="U296" s="408"/>
      <c r="V296" s="408"/>
      <c r="W296" s="408"/>
      <c r="X296" s="408"/>
      <c r="Y296" s="408"/>
      <c r="Z296" s="408"/>
      <c r="AA296" s="408"/>
      <c r="AC296" s="632">
        <f>IFERROR(P296*$K296/$J296,0)</f>
        <v>0</v>
      </c>
      <c r="AD296" s="632">
        <f t="shared" ref="AD296" si="642">IFERROR(Q296*$K296/$J296,0)</f>
        <v>0</v>
      </c>
      <c r="AE296" s="632">
        <f t="shared" ref="AE296" si="643">IFERROR(R296*$K296/$J296,0)</f>
        <v>0</v>
      </c>
      <c r="AF296" s="632">
        <f t="shared" ref="AF296" si="644">IFERROR(S296*$K296/$J296,0)</f>
        <v>0</v>
      </c>
      <c r="AG296" s="632">
        <f t="shared" ref="AG296" si="645">IFERROR(T296*$K296/$J296,0)</f>
        <v>0</v>
      </c>
      <c r="AH296" s="632">
        <f t="shared" ref="AH296" si="646">IFERROR(U296*$K296/$J296,0)</f>
        <v>0</v>
      </c>
      <c r="AI296" s="632">
        <f t="shared" ref="AI296" si="647">IFERROR(V296*$K296/$J296,0)</f>
        <v>0</v>
      </c>
      <c r="AJ296" s="632">
        <f t="shared" ref="AJ296" si="648">IFERROR(W296*$K296/$J296,0)</f>
        <v>0</v>
      </c>
      <c r="AK296" s="632">
        <f t="shared" ref="AK296" si="649">IFERROR(X296*$K296/$J296,0)</f>
        <v>0</v>
      </c>
      <c r="AL296" s="632">
        <f t="shared" ref="AL296" si="650">IFERROR(Y296*$K296/$J296,0)</f>
        <v>0</v>
      </c>
      <c r="AM296" s="632">
        <f t="shared" ref="AM296" si="651">IFERROR(Z296*$K296/$J296,0)</f>
        <v>0</v>
      </c>
      <c r="AN296" s="632">
        <f t="shared" ref="AN296" si="652">IFERROR(AA296*$K296/$J296,0)</f>
        <v>0</v>
      </c>
    </row>
    <row r="297" spans="1:49" outlineLevel="1" x14ac:dyDescent="0.35">
      <c r="E297" s="410" t="s">
        <v>588</v>
      </c>
      <c r="F297" s="428"/>
      <c r="G297" s="428"/>
      <c r="H297" s="429"/>
      <c r="I297" s="430"/>
      <c r="J297" s="413">
        <f>SUM(J298:J298)</f>
        <v>0</v>
      </c>
      <c r="K297" s="622">
        <f t="shared" ref="K297:M297" si="653">SUM(K298:K298)</f>
        <v>0</v>
      </c>
      <c r="L297" s="622">
        <f t="shared" si="653"/>
        <v>0</v>
      </c>
      <c r="M297" s="622">
        <f t="shared" si="653"/>
        <v>0</v>
      </c>
      <c r="O297" s="431"/>
      <c r="P297" s="431"/>
      <c r="Q297" s="431"/>
      <c r="R297" s="431"/>
      <c r="S297" s="431"/>
      <c r="T297" s="431"/>
      <c r="U297" s="431"/>
      <c r="V297" s="431"/>
      <c r="W297" s="431"/>
      <c r="X297" s="431"/>
      <c r="Y297" s="431"/>
      <c r="Z297" s="431"/>
      <c r="AA297" s="431"/>
      <c r="AC297" s="431"/>
      <c r="AD297" s="431"/>
      <c r="AE297" s="431"/>
      <c r="AF297" s="431"/>
      <c r="AG297" s="431"/>
      <c r="AH297" s="431"/>
      <c r="AI297" s="431"/>
      <c r="AJ297" s="431"/>
      <c r="AK297" s="431"/>
      <c r="AL297" s="431"/>
      <c r="AM297" s="431"/>
      <c r="AN297" s="431"/>
    </row>
    <row r="298" spans="1:49" outlineLevel="1" x14ac:dyDescent="0.35">
      <c r="A298" s="401"/>
      <c r="B298" s="401"/>
      <c r="C298" s="401"/>
      <c r="D298" s="401"/>
      <c r="E298" s="161"/>
      <c r="F298" s="432"/>
      <c r="G298" s="433"/>
      <c r="H298" s="434"/>
      <c r="I298" s="405">
        <f>G298*H298</f>
        <v>0</v>
      </c>
      <c r="J298" s="612">
        <f>yld*I298</f>
        <v>0</v>
      </c>
      <c r="K298" s="608"/>
      <c r="L298" s="608"/>
      <c r="M298" s="608"/>
      <c r="O298" s="407"/>
      <c r="P298" s="408"/>
      <c r="Q298" s="408"/>
      <c r="R298" s="408"/>
      <c r="S298" s="408"/>
      <c r="T298" s="408"/>
      <c r="U298" s="408"/>
      <c r="V298" s="408"/>
      <c r="W298" s="408"/>
      <c r="X298" s="408"/>
      <c r="Y298" s="408"/>
      <c r="Z298" s="408"/>
      <c r="AA298" s="408"/>
      <c r="AC298" s="632">
        <f>IFERROR(P298*$K298/$J298,0)</f>
        <v>0</v>
      </c>
      <c r="AD298" s="632">
        <f t="shared" ref="AD298" si="654">IFERROR(Q298*$K298/$J298,0)</f>
        <v>0</v>
      </c>
      <c r="AE298" s="632">
        <f t="shared" ref="AE298" si="655">IFERROR(R298*$K298/$J298,0)</f>
        <v>0</v>
      </c>
      <c r="AF298" s="632">
        <f t="shared" ref="AF298" si="656">IFERROR(S298*$K298/$J298,0)</f>
        <v>0</v>
      </c>
      <c r="AG298" s="632">
        <f t="shared" ref="AG298" si="657">IFERROR(T298*$K298/$J298,0)</f>
        <v>0</v>
      </c>
      <c r="AH298" s="632">
        <f t="shared" ref="AH298" si="658">IFERROR(U298*$K298/$J298,0)</f>
        <v>0</v>
      </c>
      <c r="AI298" s="632">
        <f t="shared" ref="AI298" si="659">IFERROR(V298*$K298/$J298,0)</f>
        <v>0</v>
      </c>
      <c r="AJ298" s="632">
        <f t="shared" ref="AJ298" si="660">IFERROR(W298*$K298/$J298,0)</f>
        <v>0</v>
      </c>
      <c r="AK298" s="632">
        <f t="shared" ref="AK298" si="661">IFERROR(X298*$K298/$J298,0)</f>
        <v>0</v>
      </c>
      <c r="AL298" s="632">
        <f t="shared" ref="AL298" si="662">IFERROR(Y298*$K298/$J298,0)</f>
        <v>0</v>
      </c>
      <c r="AM298" s="632">
        <f t="shared" ref="AM298" si="663">IFERROR(Z298*$K298/$J298,0)</f>
        <v>0</v>
      </c>
      <c r="AN298" s="632">
        <f t="shared" ref="AN298" si="664">IFERROR(AA298*$K298/$J298,0)</f>
        <v>0</v>
      </c>
    </row>
    <row r="299" spans="1:49" s="390" customFormat="1" ht="10" outlineLevel="1" x14ac:dyDescent="0.35">
      <c r="A299" s="370"/>
      <c r="B299" s="370"/>
      <c r="C299" s="370"/>
      <c r="D299" s="370"/>
      <c r="E299" s="420" t="s">
        <v>594</v>
      </c>
      <c r="F299" s="421"/>
      <c r="G299" s="421"/>
      <c r="H299" s="422"/>
      <c r="I299" s="423"/>
      <c r="J299" s="614">
        <f>J301+J303</f>
        <v>0</v>
      </c>
      <c r="K299" s="617">
        <f t="shared" ref="K299:M299" si="665">K301+K303</f>
        <v>0</v>
      </c>
      <c r="L299" s="617">
        <f t="shared" si="665"/>
        <v>0</v>
      </c>
      <c r="M299" s="617">
        <f t="shared" si="665"/>
        <v>0</v>
      </c>
      <c r="N299" s="375"/>
      <c r="O299" s="375"/>
      <c r="P299" s="375"/>
      <c r="Q299" s="375"/>
      <c r="R299" s="375"/>
      <c r="S299" s="375"/>
      <c r="T299" s="375"/>
      <c r="U299" s="375"/>
      <c r="V299" s="375"/>
      <c r="W299" s="375"/>
      <c r="X299" s="375"/>
      <c r="Y299" s="375"/>
      <c r="Z299" s="375"/>
      <c r="AA299" s="375"/>
      <c r="AB299" s="375"/>
      <c r="AC299" s="375"/>
      <c r="AD299" s="375"/>
      <c r="AE299" s="375"/>
      <c r="AF299" s="375"/>
      <c r="AG299" s="375"/>
      <c r="AH299" s="375"/>
      <c r="AI299" s="375"/>
      <c r="AJ299" s="375"/>
      <c r="AK299" s="375"/>
      <c r="AL299" s="375"/>
      <c r="AM299" s="375"/>
      <c r="AN299" s="375"/>
      <c r="AO299" s="375"/>
      <c r="AP299" s="375"/>
      <c r="AQ299" s="375"/>
      <c r="AR299" s="375"/>
      <c r="AS299" s="375"/>
      <c r="AT299" s="375"/>
      <c r="AU299" s="375"/>
      <c r="AV299" s="375"/>
      <c r="AW299" s="375"/>
    </row>
    <row r="300" spans="1:49" outlineLevel="1" x14ac:dyDescent="0.35">
      <c r="A300" s="376" t="s">
        <v>8</v>
      </c>
      <c r="B300" s="376" t="s">
        <v>14</v>
      </c>
      <c r="C300" s="376" t="s">
        <v>13</v>
      </c>
      <c r="D300" s="376" t="s">
        <v>6</v>
      </c>
      <c r="E300" s="377" t="s">
        <v>0</v>
      </c>
      <c r="F300" s="378" t="s">
        <v>1</v>
      </c>
      <c r="G300" s="379" t="s">
        <v>2</v>
      </c>
      <c r="H300" s="380" t="s">
        <v>3</v>
      </c>
      <c r="I300" s="380" t="s">
        <v>4</v>
      </c>
      <c r="J300" s="609" t="s">
        <v>52</v>
      </c>
      <c r="K300" s="623"/>
      <c r="L300" s="623"/>
      <c r="M300" s="623"/>
      <c r="N300" s="390"/>
      <c r="O300" s="395" t="s">
        <v>181</v>
      </c>
      <c r="P300" s="382">
        <v>2024</v>
      </c>
      <c r="Q300" s="382">
        <v>2025</v>
      </c>
      <c r="R300" s="382">
        <v>2026</v>
      </c>
      <c r="S300" s="382">
        <v>2027</v>
      </c>
      <c r="T300" s="383">
        <v>2028</v>
      </c>
      <c r="U300" s="383">
        <v>2029</v>
      </c>
      <c r="V300" s="383">
        <v>2030</v>
      </c>
      <c r="W300" s="383">
        <v>2031</v>
      </c>
      <c r="X300" s="383">
        <v>2032</v>
      </c>
      <c r="Y300" s="383">
        <v>2033</v>
      </c>
      <c r="Z300" s="383">
        <v>2034</v>
      </c>
      <c r="AA300" s="383">
        <v>2035</v>
      </c>
      <c r="AC300" s="382">
        <v>2024</v>
      </c>
      <c r="AD300" s="382">
        <v>2025</v>
      </c>
      <c r="AE300" s="382">
        <v>2026</v>
      </c>
      <c r="AF300" s="382">
        <v>2027</v>
      </c>
      <c r="AG300" s="383">
        <v>2028</v>
      </c>
      <c r="AH300" s="383">
        <v>2029</v>
      </c>
      <c r="AI300" s="383">
        <v>2030</v>
      </c>
      <c r="AJ300" s="383">
        <v>2031</v>
      </c>
      <c r="AK300" s="383">
        <v>2032</v>
      </c>
      <c r="AL300" s="383">
        <v>2033</v>
      </c>
      <c r="AM300" s="383">
        <v>2034</v>
      </c>
      <c r="AN300" s="383">
        <v>2035</v>
      </c>
    </row>
    <row r="301" spans="1:49" outlineLevel="1" x14ac:dyDescent="0.35">
      <c r="E301" s="396" t="s">
        <v>582</v>
      </c>
      <c r="F301" s="397"/>
      <c r="G301" s="397"/>
      <c r="H301" s="398"/>
      <c r="I301" s="399"/>
      <c r="J301" s="399">
        <f>SUM(J302:J302)</f>
        <v>0</v>
      </c>
      <c r="K301" s="621">
        <f t="shared" ref="K301:M301" si="666">SUM(K302:K302)</f>
        <v>0</v>
      </c>
      <c r="L301" s="621">
        <f t="shared" si="666"/>
        <v>0</v>
      </c>
      <c r="M301" s="621">
        <f t="shared" si="666"/>
        <v>0</v>
      </c>
      <c r="O301" s="400"/>
      <c r="P301" s="400"/>
      <c r="Q301" s="400"/>
      <c r="R301" s="400"/>
      <c r="S301" s="400"/>
      <c r="T301" s="400"/>
      <c r="U301" s="400"/>
      <c r="V301" s="400"/>
      <c r="W301" s="400"/>
      <c r="X301" s="400"/>
      <c r="Y301" s="400"/>
      <c r="Z301" s="400"/>
      <c r="AA301" s="400"/>
      <c r="AC301" s="400"/>
      <c r="AD301" s="400"/>
      <c r="AE301" s="400"/>
      <c r="AF301" s="400"/>
      <c r="AG301" s="400"/>
      <c r="AH301" s="400"/>
      <c r="AI301" s="400"/>
      <c r="AJ301" s="400"/>
      <c r="AK301" s="400"/>
      <c r="AL301" s="400"/>
      <c r="AM301" s="400"/>
      <c r="AN301" s="400"/>
    </row>
    <row r="302" spans="1:49" outlineLevel="1" x14ac:dyDescent="0.35">
      <c r="A302" s="401"/>
      <c r="B302" s="401"/>
      <c r="C302" s="401"/>
      <c r="D302" s="401"/>
      <c r="E302" s="427"/>
      <c r="F302" s="432"/>
      <c r="G302" s="433"/>
      <c r="H302" s="434"/>
      <c r="I302" s="405">
        <f>G302*H302</f>
        <v>0</v>
      </c>
      <c r="J302" s="612">
        <f>yld*I302</f>
        <v>0</v>
      </c>
      <c r="K302" s="608"/>
      <c r="L302" s="608"/>
      <c r="M302" s="608"/>
      <c r="N302" s="406"/>
      <c r="O302" s="407"/>
      <c r="P302" s="408"/>
      <c r="Q302" s="408"/>
      <c r="R302" s="408"/>
      <c r="S302" s="408"/>
      <c r="T302" s="408"/>
      <c r="U302" s="408"/>
      <c r="V302" s="408"/>
      <c r="W302" s="408"/>
      <c r="X302" s="408"/>
      <c r="Y302" s="408"/>
      <c r="Z302" s="408"/>
      <c r="AA302" s="408"/>
      <c r="AC302" s="632">
        <f>IFERROR(P302*$K302/$J302,0)</f>
        <v>0</v>
      </c>
      <c r="AD302" s="632">
        <f t="shared" ref="AD302" si="667">IFERROR(Q302*$K302/$J302,0)</f>
        <v>0</v>
      </c>
      <c r="AE302" s="632">
        <f t="shared" ref="AE302" si="668">IFERROR(R302*$K302/$J302,0)</f>
        <v>0</v>
      </c>
      <c r="AF302" s="632">
        <f t="shared" ref="AF302" si="669">IFERROR(S302*$K302/$J302,0)</f>
        <v>0</v>
      </c>
      <c r="AG302" s="632">
        <f t="shared" ref="AG302" si="670">IFERROR(T302*$K302/$J302,0)</f>
        <v>0</v>
      </c>
      <c r="AH302" s="632">
        <f t="shared" ref="AH302" si="671">IFERROR(U302*$K302/$J302,0)</f>
        <v>0</v>
      </c>
      <c r="AI302" s="632">
        <f t="shared" ref="AI302" si="672">IFERROR(V302*$K302/$J302,0)</f>
        <v>0</v>
      </c>
      <c r="AJ302" s="632">
        <f t="shared" ref="AJ302" si="673">IFERROR(W302*$K302/$J302,0)</f>
        <v>0</v>
      </c>
      <c r="AK302" s="632">
        <f t="shared" ref="AK302" si="674">IFERROR(X302*$K302/$J302,0)</f>
        <v>0</v>
      </c>
      <c r="AL302" s="632">
        <f t="shared" ref="AL302" si="675">IFERROR(Y302*$K302/$J302,0)</f>
        <v>0</v>
      </c>
      <c r="AM302" s="632">
        <f t="shared" ref="AM302" si="676">IFERROR(Z302*$K302/$J302,0)</f>
        <v>0</v>
      </c>
      <c r="AN302" s="632">
        <f t="shared" ref="AN302" si="677">IFERROR(AA302*$K302/$J302,0)</f>
        <v>0</v>
      </c>
    </row>
    <row r="303" spans="1:49" outlineLevel="1" x14ac:dyDescent="0.35">
      <c r="E303" s="410" t="s">
        <v>588</v>
      </c>
      <c r="F303" s="428"/>
      <c r="G303" s="428"/>
      <c r="H303" s="429"/>
      <c r="I303" s="430"/>
      <c r="J303" s="413">
        <f>SUM(J304:J304)</f>
        <v>0</v>
      </c>
      <c r="K303" s="622">
        <f t="shared" ref="K303:M303" si="678">SUM(K304:K304)</f>
        <v>0</v>
      </c>
      <c r="L303" s="622">
        <f t="shared" si="678"/>
        <v>0</v>
      </c>
      <c r="M303" s="622">
        <f t="shared" si="678"/>
        <v>0</v>
      </c>
      <c r="O303" s="431"/>
      <c r="P303" s="431"/>
      <c r="Q303" s="431"/>
      <c r="R303" s="431"/>
      <c r="S303" s="431"/>
      <c r="T303" s="431"/>
      <c r="U303" s="431"/>
      <c r="V303" s="431"/>
      <c r="W303" s="431"/>
      <c r="X303" s="431"/>
      <c r="Y303" s="431"/>
      <c r="Z303" s="431"/>
      <c r="AA303" s="431"/>
      <c r="AC303" s="431"/>
      <c r="AD303" s="431"/>
      <c r="AE303" s="431"/>
      <c r="AF303" s="431"/>
      <c r="AG303" s="431"/>
      <c r="AH303" s="431"/>
      <c r="AI303" s="431"/>
      <c r="AJ303" s="431"/>
      <c r="AK303" s="431"/>
      <c r="AL303" s="431"/>
      <c r="AM303" s="431"/>
      <c r="AN303" s="431"/>
    </row>
    <row r="304" spans="1:49" s="390" customFormat="1" outlineLevel="1" x14ac:dyDescent="0.35">
      <c r="A304" s="401"/>
      <c r="B304" s="401"/>
      <c r="C304" s="401"/>
      <c r="D304" s="401"/>
      <c r="E304" s="427"/>
      <c r="F304" s="432"/>
      <c r="G304" s="433"/>
      <c r="H304" s="434"/>
      <c r="I304" s="405">
        <f>G304*H304</f>
        <v>0</v>
      </c>
      <c r="J304" s="612">
        <f>yld*I304</f>
        <v>0</v>
      </c>
      <c r="K304" s="608"/>
      <c r="L304" s="608"/>
      <c r="M304" s="608"/>
      <c r="N304" s="375"/>
      <c r="O304" s="407"/>
      <c r="P304" s="408"/>
      <c r="Q304" s="408"/>
      <c r="R304" s="408"/>
      <c r="S304" s="408"/>
      <c r="T304" s="408"/>
      <c r="U304" s="408"/>
      <c r="V304" s="408"/>
      <c r="W304" s="408"/>
      <c r="X304" s="408"/>
      <c r="Y304" s="408"/>
      <c r="Z304" s="408"/>
      <c r="AA304" s="408"/>
      <c r="AB304" s="375"/>
      <c r="AC304" s="632">
        <f>IFERROR(P304*$K304/$J304,0)</f>
        <v>0</v>
      </c>
      <c r="AD304" s="632">
        <f t="shared" ref="AD304" si="679">IFERROR(Q304*$K304/$J304,0)</f>
        <v>0</v>
      </c>
      <c r="AE304" s="632">
        <f t="shared" ref="AE304" si="680">IFERROR(R304*$K304/$J304,0)</f>
        <v>0</v>
      </c>
      <c r="AF304" s="632">
        <f t="shared" ref="AF304" si="681">IFERROR(S304*$K304/$J304,0)</f>
        <v>0</v>
      </c>
      <c r="AG304" s="632">
        <f t="shared" ref="AG304" si="682">IFERROR(T304*$K304/$J304,0)</f>
        <v>0</v>
      </c>
      <c r="AH304" s="632">
        <f t="shared" ref="AH304" si="683">IFERROR(U304*$K304/$J304,0)</f>
        <v>0</v>
      </c>
      <c r="AI304" s="632">
        <f t="shared" ref="AI304" si="684">IFERROR(V304*$K304/$J304,0)</f>
        <v>0</v>
      </c>
      <c r="AJ304" s="632">
        <f t="shared" ref="AJ304" si="685">IFERROR(W304*$K304/$J304,0)</f>
        <v>0</v>
      </c>
      <c r="AK304" s="632">
        <f t="shared" ref="AK304" si="686">IFERROR(X304*$K304/$J304,0)</f>
        <v>0</v>
      </c>
      <c r="AL304" s="632">
        <f t="shared" ref="AL304" si="687">IFERROR(Y304*$K304/$J304,0)</f>
        <v>0</v>
      </c>
      <c r="AM304" s="632">
        <f t="shared" ref="AM304" si="688">IFERROR(Z304*$K304/$J304,0)</f>
        <v>0</v>
      </c>
      <c r="AN304" s="632">
        <f t="shared" ref="AN304" si="689">IFERROR(AA304*$K304/$J304,0)</f>
        <v>0</v>
      </c>
      <c r="AO304" s="375"/>
      <c r="AP304" s="375"/>
      <c r="AQ304" s="375"/>
      <c r="AR304" s="375"/>
      <c r="AS304" s="375"/>
      <c r="AT304" s="375"/>
      <c r="AU304" s="375"/>
      <c r="AV304" s="375"/>
      <c r="AW304" s="375"/>
    </row>
    <row r="305" spans="1:49" s="390" customFormat="1" ht="10" x14ac:dyDescent="0.35">
      <c r="A305" s="370"/>
      <c r="B305" s="370"/>
      <c r="C305" s="370"/>
      <c r="D305" s="370"/>
      <c r="E305" s="481" t="s">
        <v>659</v>
      </c>
      <c r="F305" s="482"/>
      <c r="G305" s="482"/>
      <c r="H305" s="483"/>
      <c r="I305" s="484"/>
      <c r="J305" s="611">
        <f>J307+J311</f>
        <v>1292369.9999999998</v>
      </c>
      <c r="K305" s="607"/>
      <c r="L305" s="607"/>
      <c r="M305" s="607"/>
      <c r="N305" s="436" t="s">
        <v>626</v>
      </c>
      <c r="O305" s="375"/>
      <c r="P305" s="375"/>
      <c r="Q305" s="375"/>
      <c r="R305" s="375"/>
      <c r="S305" s="375"/>
      <c r="T305" s="375"/>
      <c r="U305" s="375"/>
      <c r="V305" s="375"/>
      <c r="W305" s="375"/>
      <c r="X305" s="375"/>
      <c r="Y305" s="375"/>
      <c r="Z305" s="375"/>
      <c r="AA305" s="375"/>
      <c r="AC305" s="375"/>
      <c r="AD305" s="375"/>
      <c r="AE305" s="375"/>
      <c r="AF305" s="375"/>
      <c r="AG305" s="375"/>
      <c r="AH305" s="375"/>
      <c r="AI305" s="375"/>
      <c r="AJ305" s="375"/>
      <c r="AK305" s="375"/>
      <c r="AL305" s="375"/>
      <c r="AM305" s="375"/>
      <c r="AN305" s="375"/>
      <c r="AO305" s="375"/>
      <c r="AP305" s="375"/>
      <c r="AQ305" s="375"/>
      <c r="AR305" s="375"/>
      <c r="AS305" s="375"/>
      <c r="AT305" s="375"/>
      <c r="AU305" s="375"/>
      <c r="AV305" s="375"/>
      <c r="AW305" s="375"/>
    </row>
    <row r="306" spans="1:49" x14ac:dyDescent="0.35">
      <c r="E306" s="377" t="s">
        <v>0</v>
      </c>
      <c r="F306" s="378" t="s">
        <v>1</v>
      </c>
      <c r="G306" s="379" t="s">
        <v>2</v>
      </c>
      <c r="H306" s="380" t="s">
        <v>3</v>
      </c>
      <c r="I306" s="380" t="s">
        <v>4</v>
      </c>
      <c r="J306" s="609" t="s">
        <v>52</v>
      </c>
      <c r="K306" s="606"/>
      <c r="L306" s="606"/>
      <c r="M306" s="606"/>
      <c r="N306" s="390"/>
      <c r="P306" s="390"/>
      <c r="Q306" s="390"/>
      <c r="R306" s="390"/>
      <c r="S306" s="390"/>
      <c r="T306" s="390"/>
      <c r="U306" s="390"/>
      <c r="V306" s="390"/>
      <c r="W306" s="390"/>
      <c r="X306" s="390"/>
      <c r="Y306" s="390"/>
      <c r="Z306" s="390"/>
      <c r="AA306" s="390"/>
      <c r="AC306" s="390"/>
      <c r="AD306" s="390"/>
      <c r="AE306" s="390"/>
      <c r="AF306" s="390"/>
      <c r="AG306" s="390"/>
      <c r="AH306" s="390"/>
      <c r="AI306" s="390"/>
      <c r="AJ306" s="390"/>
      <c r="AK306" s="390"/>
      <c r="AL306" s="390"/>
      <c r="AM306" s="390"/>
      <c r="AN306" s="390"/>
    </row>
    <row r="307" spans="1:49" x14ac:dyDescent="0.35">
      <c r="E307" s="396" t="s">
        <v>582</v>
      </c>
      <c r="F307" s="397"/>
      <c r="G307" s="397"/>
      <c r="H307" s="398"/>
      <c r="I307" s="399"/>
      <c r="J307" s="399">
        <f>SUM(J308:J310)</f>
        <v>667344.99999999988</v>
      </c>
      <c r="K307" s="625"/>
      <c r="L307" s="625"/>
      <c r="M307" s="625"/>
      <c r="AC307" s="375"/>
      <c r="AD307" s="375"/>
      <c r="AE307" s="375"/>
      <c r="AF307" s="375"/>
      <c r="AG307" s="375"/>
      <c r="AH307" s="375"/>
      <c r="AI307" s="375"/>
      <c r="AJ307" s="375"/>
      <c r="AK307" s="375"/>
      <c r="AL307" s="375"/>
      <c r="AM307" s="375"/>
      <c r="AN307" s="375"/>
    </row>
    <row r="308" spans="1:49" x14ac:dyDescent="0.35">
      <c r="A308" s="517" t="s">
        <v>737</v>
      </c>
      <c r="B308" s="517" t="s">
        <v>15</v>
      </c>
      <c r="C308" s="517"/>
      <c r="D308" s="517" t="s">
        <v>484</v>
      </c>
      <c r="E308" s="140" t="s">
        <v>785</v>
      </c>
      <c r="F308" s="402" t="s">
        <v>585</v>
      </c>
      <c r="G308" s="403">
        <v>1</v>
      </c>
      <c r="H308" s="417">
        <f>Ühikhinnad!$J$55</f>
        <v>389000</v>
      </c>
      <c r="I308" s="405">
        <f>G308*H308</f>
        <v>389000</v>
      </c>
      <c r="J308" s="612">
        <f>yld*I308</f>
        <v>447349.99999999994</v>
      </c>
      <c r="K308" s="608"/>
      <c r="L308" s="608"/>
      <c r="M308" s="608"/>
    </row>
    <row r="309" spans="1:49" x14ac:dyDescent="0.35">
      <c r="A309" s="517" t="s">
        <v>737</v>
      </c>
      <c r="B309" s="517" t="s">
        <v>15</v>
      </c>
      <c r="C309" s="517"/>
      <c r="D309" s="517" t="s">
        <v>484</v>
      </c>
      <c r="E309" s="140" t="s">
        <v>787</v>
      </c>
      <c r="F309" s="402" t="s">
        <v>9</v>
      </c>
      <c r="G309" s="403">
        <v>100</v>
      </c>
      <c r="H309" s="404">
        <f>Ühikhinnad!$C$3</f>
        <v>80</v>
      </c>
      <c r="I309" s="405">
        <f>G309*H309</f>
        <v>8000</v>
      </c>
      <c r="J309" s="612">
        <f>yld*I309</f>
        <v>9200</v>
      </c>
      <c r="K309" s="608"/>
      <c r="L309" s="608"/>
      <c r="M309" s="608"/>
    </row>
    <row r="310" spans="1:49" x14ac:dyDescent="0.35">
      <c r="A310" s="517" t="s">
        <v>737</v>
      </c>
      <c r="B310" s="517" t="s">
        <v>15</v>
      </c>
      <c r="C310" s="517"/>
      <c r="D310" s="517" t="s">
        <v>484</v>
      </c>
      <c r="E310" s="140" t="s">
        <v>786</v>
      </c>
      <c r="F310" s="402" t="s">
        <v>9</v>
      </c>
      <c r="G310" s="403">
        <v>1410</v>
      </c>
      <c r="H310" s="404">
        <f>Ühikhinnad!$C$2</f>
        <v>130</v>
      </c>
      <c r="I310" s="405">
        <f>G310*H310</f>
        <v>183300</v>
      </c>
      <c r="J310" s="612">
        <f>yld*I310</f>
        <v>210794.99999999997</v>
      </c>
      <c r="K310" s="608"/>
      <c r="L310" s="608"/>
      <c r="M310" s="608"/>
    </row>
    <row r="311" spans="1:49" s="390" customFormat="1" x14ac:dyDescent="0.35">
      <c r="A311" s="517"/>
      <c r="B311" s="517"/>
      <c r="C311" s="517"/>
      <c r="D311" s="517"/>
      <c r="E311" s="410" t="s">
        <v>588</v>
      </c>
      <c r="F311" s="411"/>
      <c r="G311" s="411"/>
      <c r="H311" s="412"/>
      <c r="I311" s="413"/>
      <c r="J311" s="413">
        <f>SUM(J312:J314)</f>
        <v>625024.99999999988</v>
      </c>
      <c r="K311" s="625"/>
      <c r="L311" s="625"/>
      <c r="M311" s="625"/>
      <c r="N311" s="414"/>
      <c r="Y311" s="414"/>
      <c r="Z311" s="414"/>
      <c r="AA311" s="414"/>
      <c r="AL311" s="414"/>
      <c r="AM311" s="414"/>
      <c r="AN311" s="414"/>
      <c r="AO311" s="375"/>
      <c r="AP311" s="375"/>
      <c r="AQ311" s="375"/>
      <c r="AR311" s="375"/>
      <c r="AS311" s="375"/>
      <c r="AT311" s="375"/>
      <c r="AU311" s="375"/>
      <c r="AV311" s="375"/>
      <c r="AW311" s="375"/>
    </row>
    <row r="312" spans="1:49" x14ac:dyDescent="0.35">
      <c r="A312" s="517" t="s">
        <v>737</v>
      </c>
      <c r="B312" s="517" t="s">
        <v>17</v>
      </c>
      <c r="C312" s="517"/>
      <c r="D312" s="517" t="s">
        <v>484</v>
      </c>
      <c r="E312" s="161" t="s">
        <v>615</v>
      </c>
      <c r="F312" s="402" t="s">
        <v>9</v>
      </c>
      <c r="G312" s="403">
        <v>1090</v>
      </c>
      <c r="H312" s="404">
        <f>Ühikhinnad!$C$4</f>
        <v>160</v>
      </c>
      <c r="I312" s="405">
        <f>G312*H312</f>
        <v>174400</v>
      </c>
      <c r="J312" s="612">
        <f>yld*I312</f>
        <v>200559.99999999997</v>
      </c>
      <c r="K312" s="608"/>
      <c r="L312" s="608"/>
      <c r="M312" s="608"/>
      <c r="N312" s="441"/>
      <c r="Y312" s="418"/>
      <c r="Z312" s="418"/>
      <c r="AA312" s="418"/>
    </row>
    <row r="313" spans="1:49" x14ac:dyDescent="0.35">
      <c r="A313" s="517" t="s">
        <v>737</v>
      </c>
      <c r="B313" s="517" t="s">
        <v>17</v>
      </c>
      <c r="C313" s="517"/>
      <c r="D313" s="517" t="s">
        <v>484</v>
      </c>
      <c r="E313" s="161" t="s">
        <v>788</v>
      </c>
      <c r="F313" s="402" t="s">
        <v>9</v>
      </c>
      <c r="G313" s="403">
        <v>2570</v>
      </c>
      <c r="H313" s="404">
        <f>Ühikhinnad!$C$5</f>
        <v>130</v>
      </c>
      <c r="I313" s="405">
        <f>G313*H313</f>
        <v>334100</v>
      </c>
      <c r="J313" s="612">
        <f>yld*I313</f>
        <v>384214.99999999994</v>
      </c>
      <c r="K313" s="608"/>
      <c r="L313" s="608"/>
      <c r="M313" s="608"/>
      <c r="N313" s="418"/>
      <c r="Y313" s="418"/>
      <c r="Z313" s="418"/>
      <c r="AA313" s="418"/>
    </row>
    <row r="314" spans="1:49" x14ac:dyDescent="0.35">
      <c r="A314" s="517" t="s">
        <v>737</v>
      </c>
      <c r="B314" s="517" t="s">
        <v>17</v>
      </c>
      <c r="C314" s="517"/>
      <c r="D314" s="517" t="s">
        <v>484</v>
      </c>
      <c r="E314" s="161" t="s">
        <v>790</v>
      </c>
      <c r="F314" s="402" t="s">
        <v>585</v>
      </c>
      <c r="G314" s="403">
        <v>1</v>
      </c>
      <c r="H314" s="434">
        <f>Ühikhinnad!$C$8</f>
        <v>35000</v>
      </c>
      <c r="I314" s="405">
        <f>G314*H314</f>
        <v>35000</v>
      </c>
      <c r="J314" s="612">
        <f>yld*I314</f>
        <v>40250</v>
      </c>
      <c r="K314" s="608"/>
      <c r="L314" s="608"/>
      <c r="M314" s="608"/>
      <c r="O314" s="515"/>
      <c r="P314" s="516"/>
      <c r="Q314" s="516"/>
      <c r="R314" s="516"/>
      <c r="S314" s="516"/>
      <c r="T314" s="516"/>
      <c r="U314" s="516"/>
      <c r="V314" s="516"/>
      <c r="W314" s="516"/>
      <c r="X314" s="516"/>
      <c r="Y314" s="516"/>
      <c r="Z314" s="516"/>
      <c r="AA314" s="516"/>
      <c r="AC314" s="637"/>
      <c r="AD314" s="637"/>
      <c r="AE314" s="637"/>
      <c r="AF314" s="637"/>
      <c r="AG314" s="637"/>
      <c r="AH314" s="637"/>
      <c r="AI314" s="637"/>
      <c r="AJ314" s="637"/>
      <c r="AK314" s="637"/>
      <c r="AL314" s="637"/>
      <c r="AM314" s="637"/>
      <c r="AN314" s="637"/>
    </row>
    <row r="315" spans="1:49" ht="15.5" thickBot="1" x14ac:dyDescent="0.4">
      <c r="E315" s="384" t="s">
        <v>635</v>
      </c>
      <c r="F315" s="384"/>
      <c r="G315" s="503"/>
      <c r="H315" s="426"/>
      <c r="I315" s="384"/>
      <c r="J315" s="389">
        <f>J316+J322</f>
        <v>440449.99999999994</v>
      </c>
      <c r="K315" s="620">
        <f>K316+K322</f>
        <v>440449.99999999994</v>
      </c>
      <c r="L315" s="620">
        <f>L316+L322</f>
        <v>0</v>
      </c>
      <c r="M315" s="620">
        <f>M316+M322</f>
        <v>0</v>
      </c>
      <c r="N315" s="375" t="str">
        <f>IF(J315=K315+L315+M315,"OK","viga")</f>
        <v>OK</v>
      </c>
      <c r="AC315" s="375"/>
      <c r="AD315" s="375"/>
      <c r="AE315" s="375"/>
      <c r="AF315" s="375"/>
      <c r="AG315" s="375"/>
      <c r="AH315" s="375"/>
      <c r="AI315" s="375"/>
      <c r="AJ315" s="375"/>
      <c r="AK315" s="375"/>
      <c r="AL315" s="375"/>
      <c r="AM315" s="375"/>
      <c r="AN315" s="375"/>
    </row>
    <row r="316" spans="1:49" s="390" customFormat="1" ht="10.5" thickTop="1" x14ac:dyDescent="0.35">
      <c r="A316" s="370"/>
      <c r="B316" s="370"/>
      <c r="C316" s="370"/>
      <c r="D316" s="370"/>
      <c r="E316" s="391" t="s">
        <v>581</v>
      </c>
      <c r="F316" s="392"/>
      <c r="G316" s="392"/>
      <c r="H316" s="393"/>
      <c r="I316" s="394"/>
      <c r="J316" s="610">
        <f>J318+J320</f>
        <v>28750</v>
      </c>
      <c r="K316" s="617">
        <f>K318+K320</f>
        <v>28750</v>
      </c>
      <c r="L316" s="617">
        <f>L318+L320</f>
        <v>0</v>
      </c>
      <c r="M316" s="617">
        <f>M318+M320</f>
        <v>0</v>
      </c>
      <c r="N316" s="375"/>
      <c r="P316" s="375"/>
      <c r="Q316" s="375"/>
      <c r="R316" s="375"/>
      <c r="S316" s="375"/>
      <c r="T316" s="375"/>
      <c r="U316" s="375"/>
      <c r="V316" s="375"/>
      <c r="W316" s="375"/>
      <c r="X316" s="375"/>
      <c r="Y316" s="375"/>
      <c r="Z316" s="375"/>
      <c r="AA316" s="375"/>
      <c r="AB316" s="375"/>
      <c r="AC316" s="375"/>
      <c r="AD316" s="375"/>
      <c r="AE316" s="375"/>
      <c r="AF316" s="375"/>
      <c r="AG316" s="375"/>
      <c r="AH316" s="375"/>
      <c r="AI316" s="375"/>
      <c r="AJ316" s="375"/>
      <c r="AK316" s="375"/>
      <c r="AL316" s="375"/>
      <c r="AM316" s="375"/>
      <c r="AN316" s="375"/>
      <c r="AO316" s="375"/>
      <c r="AP316" s="375"/>
      <c r="AQ316" s="375"/>
      <c r="AR316" s="375"/>
      <c r="AS316" s="375"/>
      <c r="AT316" s="375"/>
      <c r="AU316" s="375"/>
      <c r="AV316" s="375"/>
      <c r="AW316" s="375"/>
    </row>
    <row r="317" spans="1:49" x14ac:dyDescent="0.35">
      <c r="A317" s="376" t="s">
        <v>8</v>
      </c>
      <c r="B317" s="376" t="s">
        <v>14</v>
      </c>
      <c r="C317" s="376" t="s">
        <v>13</v>
      </c>
      <c r="D317" s="376" t="s">
        <v>6</v>
      </c>
      <c r="E317" s="377" t="s">
        <v>0</v>
      </c>
      <c r="F317" s="378" t="s">
        <v>1</v>
      </c>
      <c r="G317" s="379" t="s">
        <v>2</v>
      </c>
      <c r="H317" s="380" t="s">
        <v>3</v>
      </c>
      <c r="I317" s="380" t="s">
        <v>4</v>
      </c>
      <c r="J317" s="609" t="s">
        <v>52</v>
      </c>
      <c r="K317" s="623"/>
      <c r="L317" s="627">
        <v>0</v>
      </c>
      <c r="M317" s="627"/>
      <c r="N317" s="390"/>
      <c r="O317" s="395" t="s">
        <v>181</v>
      </c>
      <c r="P317" s="382">
        <v>2024</v>
      </c>
      <c r="Q317" s="382">
        <v>2025</v>
      </c>
      <c r="R317" s="382">
        <v>2026</v>
      </c>
      <c r="S317" s="382">
        <v>2027</v>
      </c>
      <c r="T317" s="383">
        <v>2028</v>
      </c>
      <c r="U317" s="383">
        <v>2029</v>
      </c>
      <c r="V317" s="383">
        <v>2030</v>
      </c>
      <c r="W317" s="383">
        <v>2031</v>
      </c>
      <c r="X317" s="383">
        <v>2032</v>
      </c>
      <c r="Y317" s="383">
        <v>2033</v>
      </c>
      <c r="Z317" s="383">
        <v>2034</v>
      </c>
      <c r="AA317" s="383">
        <v>2035</v>
      </c>
      <c r="AC317" s="382">
        <v>2024</v>
      </c>
      <c r="AD317" s="382">
        <v>2025</v>
      </c>
      <c r="AE317" s="382">
        <v>2026</v>
      </c>
      <c r="AF317" s="382">
        <v>2027</v>
      </c>
      <c r="AG317" s="383">
        <v>2028</v>
      </c>
      <c r="AH317" s="383">
        <v>2029</v>
      </c>
      <c r="AI317" s="383">
        <v>2030</v>
      </c>
      <c r="AJ317" s="383">
        <v>2031</v>
      </c>
      <c r="AK317" s="383">
        <v>2032</v>
      </c>
      <c r="AL317" s="383">
        <v>2033</v>
      </c>
      <c r="AM317" s="383">
        <v>2034</v>
      </c>
      <c r="AN317" s="383">
        <v>2035</v>
      </c>
    </row>
    <row r="318" spans="1:49" x14ac:dyDescent="0.35">
      <c r="E318" s="396" t="s">
        <v>582</v>
      </c>
      <c r="F318" s="397"/>
      <c r="G318" s="397"/>
      <c r="H318" s="398"/>
      <c r="I318" s="399"/>
      <c r="J318" s="399">
        <f>SUM(J319:J319)</f>
        <v>17250</v>
      </c>
      <c r="K318" s="621">
        <f>SUM(K319:K319)</f>
        <v>17250</v>
      </c>
      <c r="L318" s="621">
        <f>SUM(L319:L319)</f>
        <v>0</v>
      </c>
      <c r="M318" s="621">
        <f>SUM(M319:M319)</f>
        <v>0</v>
      </c>
      <c r="O318" s="400"/>
      <c r="P318" s="400"/>
      <c r="Q318" s="400"/>
      <c r="R318" s="400"/>
      <c r="S318" s="400"/>
      <c r="T318" s="400"/>
      <c r="U318" s="400"/>
      <c r="V318" s="400"/>
      <c r="W318" s="400"/>
      <c r="X318" s="400"/>
      <c r="Y318" s="400"/>
      <c r="Z318" s="400"/>
      <c r="AA318" s="400"/>
      <c r="AC318" s="400"/>
      <c r="AD318" s="400"/>
      <c r="AE318" s="400"/>
      <c r="AF318" s="400"/>
      <c r="AG318" s="400"/>
      <c r="AH318" s="400"/>
      <c r="AI318" s="400"/>
      <c r="AJ318" s="400"/>
      <c r="AK318" s="400"/>
      <c r="AL318" s="400"/>
      <c r="AM318" s="400"/>
      <c r="AN318" s="400"/>
    </row>
    <row r="319" spans="1:49" x14ac:dyDescent="0.35">
      <c r="A319" s="401" t="s">
        <v>583</v>
      </c>
      <c r="B319" s="401" t="s">
        <v>15</v>
      </c>
      <c r="C319" s="401" t="s">
        <v>748</v>
      </c>
      <c r="D319" s="401" t="s">
        <v>437</v>
      </c>
      <c r="E319" s="140" t="s">
        <v>935</v>
      </c>
      <c r="F319" s="402" t="s">
        <v>585</v>
      </c>
      <c r="G319" s="403">
        <v>1</v>
      </c>
      <c r="H319" s="417">
        <v>15000</v>
      </c>
      <c r="I319" s="405">
        <f>G319*H319</f>
        <v>15000</v>
      </c>
      <c r="J319" s="612">
        <f>yld*I319</f>
        <v>17250</v>
      </c>
      <c r="K319" s="608">
        <f t="shared" ref="K319:K321" si="690">J319-L319-M319</f>
        <v>17250</v>
      </c>
      <c r="L319" s="608">
        <v>0</v>
      </c>
      <c r="M319" s="608">
        <f>$J319*M$317</f>
        <v>0</v>
      </c>
      <c r="N319" s="406"/>
      <c r="O319" s="407">
        <v>25</v>
      </c>
      <c r="P319" s="408"/>
      <c r="Q319" s="408"/>
      <c r="R319" s="408">
        <f>$J319</f>
        <v>17250</v>
      </c>
      <c r="S319" s="408"/>
      <c r="T319" s="408"/>
      <c r="U319" s="408"/>
      <c r="V319" s="408"/>
      <c r="W319" s="408"/>
      <c r="X319" s="408"/>
      <c r="Y319" s="408"/>
      <c r="Z319" s="408"/>
      <c r="AA319" s="408"/>
      <c r="AC319" s="632">
        <f t="shared" ref="AC319" si="691">IFERROR(P319*$K319/$J319,0)</f>
        <v>0</v>
      </c>
      <c r="AD319" s="632">
        <f t="shared" ref="AD319" si="692">IFERROR(Q319*$K319/$J319,0)</f>
        <v>0</v>
      </c>
      <c r="AE319" s="632">
        <f t="shared" ref="AE319" si="693">IFERROR(R319*$K319/$J319,0)</f>
        <v>17250</v>
      </c>
      <c r="AF319" s="632">
        <f t="shared" ref="AF319" si="694">IFERROR(S319*$K319/$J319,0)</f>
        <v>0</v>
      </c>
      <c r="AG319" s="632">
        <f t="shared" ref="AG319" si="695">IFERROR(T319*$K319/$J319,0)</f>
        <v>0</v>
      </c>
      <c r="AH319" s="632">
        <f t="shared" ref="AH319" si="696">IFERROR(U319*$K319/$J319,0)</f>
        <v>0</v>
      </c>
      <c r="AI319" s="632">
        <f t="shared" ref="AI319" si="697">IFERROR(V319*$K319/$J319,0)</f>
        <v>0</v>
      </c>
      <c r="AJ319" s="632">
        <f t="shared" ref="AJ319" si="698">IFERROR(W319*$K319/$J319,0)</f>
        <v>0</v>
      </c>
      <c r="AK319" s="632">
        <f t="shared" ref="AK319" si="699">IFERROR(X319*$K319/$J319,0)</f>
        <v>0</v>
      </c>
      <c r="AL319" s="632">
        <f t="shared" ref="AL319" si="700">IFERROR(Y319*$K319/$J319,0)</f>
        <v>0</v>
      </c>
      <c r="AM319" s="632">
        <f t="shared" ref="AM319" si="701">IFERROR(Z319*$K319/$J319,0)</f>
        <v>0</v>
      </c>
      <c r="AN319" s="632">
        <f t="shared" ref="AN319" si="702">IFERROR(AA319*$K319/$J319,0)</f>
        <v>0</v>
      </c>
    </row>
    <row r="320" spans="1:49" outlineLevel="1" x14ac:dyDescent="0.35">
      <c r="E320" s="410" t="s">
        <v>588</v>
      </c>
      <c r="F320" s="428"/>
      <c r="G320" s="428"/>
      <c r="H320" s="429"/>
      <c r="I320" s="430"/>
      <c r="J320" s="413">
        <f>SUM(J321:J321)</f>
        <v>11500</v>
      </c>
      <c r="K320" s="622">
        <f>SUM(K321:K321)</f>
        <v>11500</v>
      </c>
      <c r="L320" s="622">
        <f>SUM(L321:L321)</f>
        <v>0</v>
      </c>
      <c r="M320" s="622">
        <f>SUM(M321:M321)</f>
        <v>0</v>
      </c>
      <c r="O320" s="431"/>
      <c r="P320" s="431"/>
      <c r="Q320" s="431"/>
      <c r="R320" s="431"/>
      <c r="S320" s="431"/>
      <c r="T320" s="431"/>
      <c r="U320" s="431"/>
      <c r="V320" s="431"/>
      <c r="W320" s="431"/>
      <c r="X320" s="431"/>
      <c r="Y320" s="431"/>
      <c r="Z320" s="431"/>
      <c r="AA320" s="431"/>
      <c r="AC320" s="431"/>
      <c r="AD320" s="431"/>
      <c r="AE320" s="431"/>
      <c r="AF320" s="431"/>
      <c r="AG320" s="431"/>
      <c r="AH320" s="431"/>
      <c r="AI320" s="431"/>
      <c r="AJ320" s="431"/>
      <c r="AK320" s="431"/>
      <c r="AL320" s="431"/>
      <c r="AM320" s="431"/>
      <c r="AN320" s="431"/>
    </row>
    <row r="321" spans="1:49" outlineLevel="1" x14ac:dyDescent="0.35">
      <c r="A321" s="401" t="s">
        <v>583</v>
      </c>
      <c r="B321" s="401" t="s">
        <v>17</v>
      </c>
      <c r="C321" s="401" t="s">
        <v>753</v>
      </c>
      <c r="D321" s="401" t="s">
        <v>437</v>
      </c>
      <c r="E321" s="161" t="s">
        <v>1061</v>
      </c>
      <c r="F321" s="432" t="s">
        <v>585</v>
      </c>
      <c r="G321" s="433">
        <v>1</v>
      </c>
      <c r="H321" s="417">
        <f>Ühikhinnad!$C$10</f>
        <v>10000</v>
      </c>
      <c r="I321" s="405">
        <f>G321*H321</f>
        <v>10000</v>
      </c>
      <c r="J321" s="612">
        <f>yld*I321</f>
        <v>11500</v>
      </c>
      <c r="K321" s="608">
        <f t="shared" si="690"/>
        <v>11500</v>
      </c>
      <c r="L321" s="608"/>
      <c r="M321" s="608"/>
      <c r="O321" s="407">
        <v>15</v>
      </c>
      <c r="P321" s="408"/>
      <c r="Q321" s="408"/>
      <c r="R321" s="408">
        <f>$J321</f>
        <v>11500</v>
      </c>
      <c r="S321" s="408"/>
      <c r="T321" s="408"/>
      <c r="U321" s="408"/>
      <c r="V321" s="408"/>
      <c r="W321" s="408"/>
      <c r="X321" s="408"/>
      <c r="Y321" s="408"/>
      <c r="Z321" s="408"/>
      <c r="AA321" s="408"/>
      <c r="AC321" s="632">
        <f t="shared" ref="AC321" si="703">IFERROR(P321*$K321/$J321,0)</f>
        <v>0</v>
      </c>
      <c r="AD321" s="632">
        <f t="shared" ref="AD321" si="704">IFERROR(Q321*$K321/$J321,0)</f>
        <v>0</v>
      </c>
      <c r="AE321" s="632">
        <f t="shared" ref="AE321" si="705">IFERROR(R321*$K321/$J321,0)</f>
        <v>11500</v>
      </c>
      <c r="AF321" s="632">
        <f t="shared" ref="AF321" si="706">IFERROR(S321*$K321/$J321,0)</f>
        <v>0</v>
      </c>
      <c r="AG321" s="632">
        <f t="shared" ref="AG321" si="707">IFERROR(T321*$K321/$J321,0)</f>
        <v>0</v>
      </c>
      <c r="AH321" s="632">
        <f t="shared" ref="AH321" si="708">IFERROR(U321*$K321/$J321,0)</f>
        <v>0</v>
      </c>
      <c r="AI321" s="632">
        <f t="shared" ref="AI321" si="709">IFERROR(V321*$K321/$J321,0)</f>
        <v>0</v>
      </c>
      <c r="AJ321" s="632">
        <f t="shared" ref="AJ321" si="710">IFERROR(W321*$K321/$J321,0)</f>
        <v>0</v>
      </c>
      <c r="AK321" s="632">
        <f t="shared" ref="AK321" si="711">IFERROR(X321*$K321/$J321,0)</f>
        <v>0</v>
      </c>
      <c r="AL321" s="632">
        <f t="shared" ref="AL321" si="712">IFERROR(Y321*$K321/$J321,0)</f>
        <v>0</v>
      </c>
      <c r="AM321" s="632">
        <f t="shared" ref="AM321" si="713">IFERROR(Z321*$K321/$J321,0)</f>
        <v>0</v>
      </c>
      <c r="AN321" s="632">
        <f t="shared" ref="AN321" si="714">IFERROR(AA321*$K321/$J321,0)</f>
        <v>0</v>
      </c>
    </row>
    <row r="322" spans="1:49" s="390" customFormat="1" ht="10" x14ac:dyDescent="0.35">
      <c r="A322" s="370"/>
      <c r="B322" s="370"/>
      <c r="C322" s="370"/>
      <c r="D322" s="370"/>
      <c r="E322" s="420" t="s">
        <v>594</v>
      </c>
      <c r="F322" s="421"/>
      <c r="G322" s="421"/>
      <c r="H322" s="422"/>
      <c r="I322" s="423"/>
      <c r="J322" s="614">
        <f>J324+J326</f>
        <v>411699.99999999994</v>
      </c>
      <c r="K322" s="617">
        <f t="shared" ref="K322" si="715">K324+K326</f>
        <v>411699.99999999994</v>
      </c>
      <c r="L322" s="608">
        <f t="shared" ref="L322:M330" si="716">$J322*L$317</f>
        <v>0</v>
      </c>
      <c r="M322" s="608">
        <f t="shared" si="716"/>
        <v>0</v>
      </c>
      <c r="N322" s="375"/>
      <c r="O322" s="375"/>
      <c r="P322" s="375"/>
      <c r="Q322" s="375"/>
      <c r="R322" s="375"/>
      <c r="S322" s="375"/>
      <c r="T322" s="375"/>
      <c r="U322" s="375"/>
      <c r="V322" s="375"/>
      <c r="W322" s="375"/>
      <c r="X322" s="375"/>
      <c r="Y322" s="375"/>
      <c r="Z322" s="375"/>
      <c r="AA322" s="375"/>
      <c r="AB322" s="375"/>
      <c r="AC322" s="375"/>
      <c r="AD322" s="375"/>
      <c r="AE322" s="375"/>
      <c r="AF322" s="375"/>
      <c r="AG322" s="375"/>
      <c r="AH322" s="375"/>
      <c r="AI322" s="375"/>
      <c r="AJ322" s="375"/>
      <c r="AK322" s="375"/>
      <c r="AL322" s="375"/>
      <c r="AM322" s="375"/>
      <c r="AN322" s="375"/>
      <c r="AO322" s="375"/>
      <c r="AP322" s="375"/>
      <c r="AQ322" s="375"/>
      <c r="AR322" s="375"/>
      <c r="AS322" s="375"/>
      <c r="AT322" s="375"/>
      <c r="AU322" s="375"/>
      <c r="AV322" s="375"/>
      <c r="AW322" s="375"/>
    </row>
    <row r="323" spans="1:49" ht="10.75" customHeight="1" x14ac:dyDescent="0.35">
      <c r="A323" s="376" t="s">
        <v>8</v>
      </c>
      <c r="B323" s="376" t="s">
        <v>14</v>
      </c>
      <c r="C323" s="376" t="s">
        <v>13</v>
      </c>
      <c r="D323" s="376" t="s">
        <v>6</v>
      </c>
      <c r="E323" s="377" t="s">
        <v>0</v>
      </c>
      <c r="F323" s="378" t="s">
        <v>1</v>
      </c>
      <c r="G323" s="379" t="s">
        <v>2</v>
      </c>
      <c r="H323" s="380" t="s">
        <v>3</v>
      </c>
      <c r="I323" s="380" t="s">
        <v>4</v>
      </c>
      <c r="J323" s="609" t="s">
        <v>52</v>
      </c>
      <c r="K323" s="623"/>
      <c r="L323" s="608"/>
      <c r="M323" s="608"/>
      <c r="N323" s="390"/>
      <c r="O323" s="395" t="s">
        <v>181</v>
      </c>
      <c r="P323" s="382">
        <v>2024</v>
      </c>
      <c r="Q323" s="382">
        <v>2025</v>
      </c>
      <c r="R323" s="382">
        <v>2026</v>
      </c>
      <c r="S323" s="382">
        <v>2027</v>
      </c>
      <c r="T323" s="383">
        <v>2028</v>
      </c>
      <c r="U323" s="383">
        <v>2029</v>
      </c>
      <c r="V323" s="383">
        <v>2030</v>
      </c>
      <c r="W323" s="383">
        <v>2031</v>
      </c>
      <c r="X323" s="383">
        <v>2032</v>
      </c>
      <c r="Y323" s="383">
        <v>2033</v>
      </c>
      <c r="Z323" s="383">
        <v>2034</v>
      </c>
      <c r="AA323" s="383">
        <v>2035</v>
      </c>
      <c r="AC323" s="382">
        <v>2024</v>
      </c>
      <c r="AD323" s="382">
        <v>2025</v>
      </c>
      <c r="AE323" s="382">
        <v>2026</v>
      </c>
      <c r="AF323" s="382">
        <v>2027</v>
      </c>
      <c r="AG323" s="383">
        <v>2028</v>
      </c>
      <c r="AH323" s="383">
        <v>2029</v>
      </c>
      <c r="AI323" s="383">
        <v>2030</v>
      </c>
      <c r="AJ323" s="383">
        <v>2031</v>
      </c>
      <c r="AK323" s="383">
        <v>2032</v>
      </c>
      <c r="AL323" s="383">
        <v>2033</v>
      </c>
      <c r="AM323" s="383">
        <v>2034</v>
      </c>
      <c r="AN323" s="383">
        <v>2035</v>
      </c>
    </row>
    <row r="324" spans="1:49" ht="10.75" customHeight="1" x14ac:dyDescent="0.35">
      <c r="E324" s="396" t="s">
        <v>582</v>
      </c>
      <c r="F324" s="397"/>
      <c r="G324" s="397"/>
      <c r="H324" s="398"/>
      <c r="I324" s="399"/>
      <c r="J324" s="399">
        <f>SUM(J325:J325)</f>
        <v>5750</v>
      </c>
      <c r="K324" s="621">
        <f t="shared" ref="K324" si="717">SUM(K325:K325)</f>
        <v>5750</v>
      </c>
      <c r="L324" s="608">
        <f t="shared" si="716"/>
        <v>0</v>
      </c>
      <c r="M324" s="608">
        <f t="shared" si="716"/>
        <v>0</v>
      </c>
      <c r="O324" s="400"/>
      <c r="P324" s="400"/>
      <c r="Q324" s="400"/>
      <c r="R324" s="400"/>
      <c r="S324" s="400"/>
      <c r="T324" s="400"/>
      <c r="U324" s="400"/>
      <c r="V324" s="400"/>
      <c r="W324" s="400"/>
      <c r="X324" s="400"/>
      <c r="Y324" s="400"/>
      <c r="Z324" s="400"/>
      <c r="AA324" s="400"/>
      <c r="AC324" s="400"/>
      <c r="AD324" s="400"/>
      <c r="AE324" s="400"/>
      <c r="AF324" s="400"/>
      <c r="AG324" s="400"/>
      <c r="AH324" s="400"/>
      <c r="AI324" s="400"/>
      <c r="AJ324" s="400"/>
      <c r="AK324" s="400"/>
      <c r="AL324" s="400"/>
      <c r="AM324" s="400"/>
      <c r="AN324" s="400"/>
    </row>
    <row r="325" spans="1:49" x14ac:dyDescent="0.35">
      <c r="A325" s="401" t="s">
        <v>595</v>
      </c>
      <c r="B325" s="401" t="s">
        <v>15</v>
      </c>
      <c r="C325" s="401" t="s">
        <v>748</v>
      </c>
      <c r="D325" s="401" t="s">
        <v>437</v>
      </c>
      <c r="E325" s="161" t="s">
        <v>645</v>
      </c>
      <c r="F325" s="402" t="s">
        <v>585</v>
      </c>
      <c r="G325" s="403">
        <v>1</v>
      </c>
      <c r="H325" s="417">
        <v>5000</v>
      </c>
      <c r="I325" s="405">
        <f>G325*H325</f>
        <v>5000</v>
      </c>
      <c r="J325" s="612">
        <f>yld*I325</f>
        <v>5750</v>
      </c>
      <c r="K325" s="608">
        <f t="shared" ref="K325" si="718">J325-L325-M325</f>
        <v>5750</v>
      </c>
      <c r="L325" s="608">
        <v>0</v>
      </c>
      <c r="M325" s="608">
        <f>$J325*M$317</f>
        <v>0</v>
      </c>
      <c r="N325" s="406"/>
      <c r="O325" s="407">
        <v>25</v>
      </c>
      <c r="P325" s="408"/>
      <c r="Q325" s="408"/>
      <c r="R325" s="408"/>
      <c r="S325" s="408"/>
      <c r="T325" s="419">
        <f t="shared" ref="T325:AA330" si="719">$J325/8</f>
        <v>718.75</v>
      </c>
      <c r="U325" s="419">
        <f t="shared" si="719"/>
        <v>718.75</v>
      </c>
      <c r="V325" s="419">
        <f t="shared" si="719"/>
        <v>718.75</v>
      </c>
      <c r="W325" s="419">
        <f t="shared" si="719"/>
        <v>718.75</v>
      </c>
      <c r="X325" s="419">
        <f t="shared" si="719"/>
        <v>718.75</v>
      </c>
      <c r="Y325" s="419">
        <f t="shared" si="719"/>
        <v>718.75</v>
      </c>
      <c r="Z325" s="419">
        <f t="shared" si="719"/>
        <v>718.75</v>
      </c>
      <c r="AA325" s="419">
        <f t="shared" si="719"/>
        <v>718.75</v>
      </c>
      <c r="AC325" s="632">
        <f t="shared" ref="AC325" si="720">IFERROR(P325*$K325/$J325,0)</f>
        <v>0</v>
      </c>
      <c r="AD325" s="632">
        <f t="shared" ref="AD325" si="721">IFERROR(Q325*$K325/$J325,0)</f>
        <v>0</v>
      </c>
      <c r="AE325" s="632">
        <f t="shared" ref="AE325" si="722">IFERROR(R325*$K325/$J325,0)</f>
        <v>0</v>
      </c>
      <c r="AF325" s="632">
        <f t="shared" ref="AF325" si="723">IFERROR(S325*$K325/$J325,0)</f>
        <v>0</v>
      </c>
      <c r="AG325" s="632">
        <f t="shared" ref="AG325" si="724">IFERROR(T325*$K325/$J325,0)</f>
        <v>718.75</v>
      </c>
      <c r="AH325" s="632">
        <f t="shared" ref="AH325" si="725">IFERROR(U325*$K325/$J325,0)</f>
        <v>718.75</v>
      </c>
      <c r="AI325" s="632">
        <f t="shared" ref="AI325" si="726">IFERROR(V325*$K325/$J325,0)</f>
        <v>718.75</v>
      </c>
      <c r="AJ325" s="632">
        <f t="shared" ref="AJ325" si="727">IFERROR(W325*$K325/$J325,0)</f>
        <v>718.75</v>
      </c>
      <c r="AK325" s="632">
        <f t="shared" ref="AK325" si="728">IFERROR(X325*$K325/$J325,0)</f>
        <v>718.75</v>
      </c>
      <c r="AL325" s="632">
        <f t="shared" ref="AL325" si="729">IFERROR(Y325*$K325/$J325,0)</f>
        <v>718.75</v>
      </c>
      <c r="AM325" s="632">
        <f t="shared" ref="AM325" si="730">IFERROR(Z325*$K325/$J325,0)</f>
        <v>718.75</v>
      </c>
      <c r="AN325" s="632">
        <f t="shared" ref="AN325" si="731">IFERROR(AA325*$K325/$J325,0)</f>
        <v>718.75</v>
      </c>
    </row>
    <row r="326" spans="1:49" x14ac:dyDescent="0.35">
      <c r="E326" s="410" t="s">
        <v>588</v>
      </c>
      <c r="F326" s="428"/>
      <c r="G326" s="428"/>
      <c r="H326" s="429"/>
      <c r="I326" s="430"/>
      <c r="J326" s="413">
        <f>SUM(J327:J327)</f>
        <v>405949.99999999994</v>
      </c>
      <c r="K326" s="622">
        <f t="shared" ref="K326" si="732">SUM(K327:K327)</f>
        <v>405949.99999999994</v>
      </c>
      <c r="L326" s="608">
        <f t="shared" si="716"/>
        <v>0</v>
      </c>
      <c r="M326" s="608">
        <f t="shared" si="716"/>
        <v>0</v>
      </c>
      <c r="O326" s="431"/>
      <c r="P326" s="431"/>
      <c r="Q326" s="431"/>
      <c r="R326" s="431"/>
      <c r="S326" s="431"/>
      <c r="T326" s="431"/>
      <c r="U326" s="431"/>
      <c r="V326" s="431"/>
      <c r="W326" s="431"/>
      <c r="X326" s="431"/>
      <c r="Y326" s="431"/>
      <c r="Z326" s="431"/>
      <c r="AA326" s="431"/>
      <c r="AC326" s="431"/>
      <c r="AD326" s="431"/>
      <c r="AE326" s="431"/>
      <c r="AF326" s="431"/>
      <c r="AG326" s="431"/>
      <c r="AH326" s="431"/>
      <c r="AI326" s="431"/>
      <c r="AJ326" s="431"/>
      <c r="AK326" s="431"/>
      <c r="AL326" s="431"/>
      <c r="AM326" s="431"/>
      <c r="AN326" s="431"/>
    </row>
    <row r="327" spans="1:49" x14ac:dyDescent="0.35">
      <c r="A327" s="401" t="s">
        <v>595</v>
      </c>
      <c r="B327" s="401" t="s">
        <v>17</v>
      </c>
      <c r="C327" s="401" t="s">
        <v>799</v>
      </c>
      <c r="D327" s="401" t="s">
        <v>437</v>
      </c>
      <c r="E327" s="161" t="s">
        <v>1046</v>
      </c>
      <c r="F327" s="432" t="s">
        <v>585</v>
      </c>
      <c r="G327" s="433">
        <v>1</v>
      </c>
      <c r="H327" s="417">
        <v>5000</v>
      </c>
      <c r="I327" s="405">
        <f>Ühikhinnad!$F$43</f>
        <v>353000</v>
      </c>
      <c r="J327" s="612">
        <f>yld*I327</f>
        <v>405949.99999999994</v>
      </c>
      <c r="K327" s="608">
        <f t="shared" ref="K327:K330" si="733">J327-L327-M327</f>
        <v>405949.99999999994</v>
      </c>
      <c r="L327" s="608">
        <f t="shared" si="716"/>
        <v>0</v>
      </c>
      <c r="M327" s="608">
        <f t="shared" si="716"/>
        <v>0</v>
      </c>
      <c r="O327" s="407">
        <v>25</v>
      </c>
      <c r="P327" s="408"/>
      <c r="Q327" s="408"/>
      <c r="R327" s="408"/>
      <c r="S327" s="408"/>
      <c r="T327" s="419">
        <f t="shared" si="719"/>
        <v>50743.749999999993</v>
      </c>
      <c r="U327" s="419">
        <f t="shared" si="719"/>
        <v>50743.749999999993</v>
      </c>
      <c r="V327" s="419">
        <f t="shared" si="719"/>
        <v>50743.749999999993</v>
      </c>
      <c r="W327" s="419">
        <f t="shared" si="719"/>
        <v>50743.749999999993</v>
      </c>
      <c r="X327" s="419">
        <f t="shared" si="719"/>
        <v>50743.749999999993</v>
      </c>
      <c r="Y327" s="419">
        <f t="shared" si="719"/>
        <v>50743.749999999993</v>
      </c>
      <c r="Z327" s="419">
        <f t="shared" si="719"/>
        <v>50743.749999999993</v>
      </c>
      <c r="AA327" s="419">
        <f t="shared" si="719"/>
        <v>50743.749999999993</v>
      </c>
      <c r="AC327" s="632">
        <f t="shared" ref="AC327:AC330" si="734">IFERROR(P327*$K327/$J327,0)</f>
        <v>0</v>
      </c>
      <c r="AD327" s="632">
        <f t="shared" ref="AD327:AD330" si="735">IFERROR(Q327*$K327/$J327,0)</f>
        <v>0</v>
      </c>
      <c r="AE327" s="632">
        <f t="shared" ref="AE327:AE330" si="736">IFERROR(R327*$K327/$J327,0)</f>
        <v>0</v>
      </c>
      <c r="AF327" s="632">
        <f t="shared" ref="AF327:AF330" si="737">IFERROR(S327*$K327/$J327,0)</f>
        <v>0</v>
      </c>
      <c r="AG327" s="632">
        <f t="shared" ref="AG327:AG330" si="738">IFERROR(T327*$K327/$J327,0)</f>
        <v>50743.749999999985</v>
      </c>
      <c r="AH327" s="632">
        <f t="shared" ref="AH327:AH330" si="739">IFERROR(U327*$K327/$J327,0)</f>
        <v>50743.749999999985</v>
      </c>
      <c r="AI327" s="632">
        <f t="shared" ref="AI327:AI330" si="740">IFERROR(V327*$K327/$J327,0)</f>
        <v>50743.749999999985</v>
      </c>
      <c r="AJ327" s="632">
        <f t="shared" ref="AJ327:AJ330" si="741">IFERROR(W327*$K327/$J327,0)</f>
        <v>50743.749999999985</v>
      </c>
      <c r="AK327" s="632">
        <f t="shared" ref="AK327:AK330" si="742">IFERROR(X327*$K327/$J327,0)</f>
        <v>50743.749999999985</v>
      </c>
      <c r="AL327" s="632">
        <f t="shared" ref="AL327:AL330" si="743">IFERROR(Y327*$K327/$J327,0)</f>
        <v>50743.749999999985</v>
      </c>
      <c r="AM327" s="632">
        <f t="shared" ref="AM327:AM330" si="744">IFERROR(Z327*$K327/$J327,0)</f>
        <v>50743.749999999985</v>
      </c>
      <c r="AN327" s="632">
        <f t="shared" ref="AN327:AN330" si="745">IFERROR(AA327*$K327/$J327,0)</f>
        <v>50743.749999999985</v>
      </c>
    </row>
    <row r="328" spans="1:49" x14ac:dyDescent="0.35">
      <c r="A328" s="401" t="s">
        <v>595</v>
      </c>
      <c r="B328" s="401" t="s">
        <v>17</v>
      </c>
      <c r="C328" s="401" t="s">
        <v>614</v>
      </c>
      <c r="D328" s="401" t="s">
        <v>437</v>
      </c>
      <c r="E328" s="427" t="s">
        <v>1045</v>
      </c>
      <c r="F328" s="432" t="s">
        <v>9</v>
      </c>
      <c r="G328" s="433"/>
      <c r="H328" s="404">
        <f>Ühikhinnad!$C$5</f>
        <v>130</v>
      </c>
      <c r="I328" s="405">
        <f>G328*H328</f>
        <v>0</v>
      </c>
      <c r="J328" s="612">
        <f>yld*I328</f>
        <v>0</v>
      </c>
      <c r="K328" s="608">
        <f t="shared" si="733"/>
        <v>0</v>
      </c>
      <c r="L328" s="608">
        <f t="shared" si="716"/>
        <v>0</v>
      </c>
      <c r="M328" s="608">
        <f t="shared" si="716"/>
        <v>0</v>
      </c>
      <c r="N328" s="436" t="s">
        <v>636</v>
      </c>
      <c r="O328" s="407">
        <v>50</v>
      </c>
      <c r="P328" s="408"/>
      <c r="Q328" s="408"/>
      <c r="R328" s="408"/>
      <c r="S328" s="408"/>
      <c r="T328" s="419">
        <f t="shared" si="719"/>
        <v>0</v>
      </c>
      <c r="U328" s="419">
        <f t="shared" si="719"/>
        <v>0</v>
      </c>
      <c r="V328" s="419">
        <f t="shared" si="719"/>
        <v>0</v>
      </c>
      <c r="W328" s="419">
        <f t="shared" si="719"/>
        <v>0</v>
      </c>
      <c r="X328" s="419">
        <f t="shared" si="719"/>
        <v>0</v>
      </c>
      <c r="Y328" s="419">
        <f t="shared" si="719"/>
        <v>0</v>
      </c>
      <c r="Z328" s="419">
        <f t="shared" si="719"/>
        <v>0</v>
      </c>
      <c r="AA328" s="419">
        <f t="shared" si="719"/>
        <v>0</v>
      </c>
      <c r="AC328" s="632">
        <f t="shared" si="734"/>
        <v>0</v>
      </c>
      <c r="AD328" s="632">
        <f t="shared" si="735"/>
        <v>0</v>
      </c>
      <c r="AE328" s="632">
        <f t="shared" si="736"/>
        <v>0</v>
      </c>
      <c r="AF328" s="632">
        <f t="shared" si="737"/>
        <v>0</v>
      </c>
      <c r="AG328" s="632">
        <f t="shared" si="738"/>
        <v>0</v>
      </c>
      <c r="AH328" s="632">
        <f t="shared" si="739"/>
        <v>0</v>
      </c>
      <c r="AI328" s="632">
        <f t="shared" si="740"/>
        <v>0</v>
      </c>
      <c r="AJ328" s="632">
        <f t="shared" si="741"/>
        <v>0</v>
      </c>
      <c r="AK328" s="632">
        <f t="shared" si="742"/>
        <v>0</v>
      </c>
      <c r="AL328" s="632">
        <f t="shared" si="743"/>
        <v>0</v>
      </c>
      <c r="AM328" s="632">
        <f t="shared" si="744"/>
        <v>0</v>
      </c>
      <c r="AN328" s="632">
        <f t="shared" si="745"/>
        <v>0</v>
      </c>
    </row>
    <row r="329" spans="1:49" ht="10.25" customHeight="1" x14ac:dyDescent="0.2">
      <c r="A329" s="401" t="s">
        <v>595</v>
      </c>
      <c r="B329" s="401" t="s">
        <v>17</v>
      </c>
      <c r="C329" s="401" t="s">
        <v>753</v>
      </c>
      <c r="D329" s="401" t="s">
        <v>437</v>
      </c>
      <c r="E329" s="701" t="s">
        <v>793</v>
      </c>
      <c r="F329" s="432" t="s">
        <v>585</v>
      </c>
      <c r="G329" s="433"/>
      <c r="H329" s="417">
        <v>45000</v>
      </c>
      <c r="I329" s="405">
        <f>G329*H329</f>
        <v>0</v>
      </c>
      <c r="J329" s="612">
        <f>yld*I329</f>
        <v>0</v>
      </c>
      <c r="K329" s="608">
        <f t="shared" si="733"/>
        <v>0</v>
      </c>
      <c r="L329" s="608">
        <f t="shared" si="716"/>
        <v>0</v>
      </c>
      <c r="M329" s="608">
        <f t="shared" si="716"/>
        <v>0</v>
      </c>
      <c r="O329" s="407">
        <v>25</v>
      </c>
      <c r="P329" s="408"/>
      <c r="Q329" s="408"/>
      <c r="R329" s="408"/>
      <c r="S329" s="408"/>
      <c r="T329" s="419">
        <f t="shared" si="719"/>
        <v>0</v>
      </c>
      <c r="U329" s="419">
        <f t="shared" si="719"/>
        <v>0</v>
      </c>
      <c r="V329" s="419">
        <f t="shared" si="719"/>
        <v>0</v>
      </c>
      <c r="W329" s="419">
        <f t="shared" si="719"/>
        <v>0</v>
      </c>
      <c r="X329" s="419">
        <f t="shared" si="719"/>
        <v>0</v>
      </c>
      <c r="Y329" s="419">
        <f t="shared" si="719"/>
        <v>0</v>
      </c>
      <c r="Z329" s="419">
        <f t="shared" si="719"/>
        <v>0</v>
      </c>
      <c r="AA329" s="419">
        <f t="shared" si="719"/>
        <v>0</v>
      </c>
      <c r="AC329" s="632">
        <f t="shared" si="734"/>
        <v>0</v>
      </c>
      <c r="AD329" s="632">
        <f t="shared" si="735"/>
        <v>0</v>
      </c>
      <c r="AE329" s="632">
        <f t="shared" si="736"/>
        <v>0</v>
      </c>
      <c r="AF329" s="632">
        <f t="shared" si="737"/>
        <v>0</v>
      </c>
      <c r="AG329" s="632">
        <f t="shared" si="738"/>
        <v>0</v>
      </c>
      <c r="AH329" s="632">
        <f t="shared" si="739"/>
        <v>0</v>
      </c>
      <c r="AI329" s="632">
        <f t="shared" si="740"/>
        <v>0</v>
      </c>
      <c r="AJ329" s="632">
        <f t="shared" si="741"/>
        <v>0</v>
      </c>
      <c r="AK329" s="632">
        <f t="shared" si="742"/>
        <v>0</v>
      </c>
      <c r="AL329" s="632">
        <f t="shared" si="743"/>
        <v>0</v>
      </c>
      <c r="AM329" s="632">
        <f t="shared" si="744"/>
        <v>0</v>
      </c>
      <c r="AN329" s="632">
        <f t="shared" si="745"/>
        <v>0</v>
      </c>
    </row>
    <row r="330" spans="1:49" ht="10.25" customHeight="1" x14ac:dyDescent="0.2">
      <c r="A330" s="401" t="s">
        <v>595</v>
      </c>
      <c r="B330" s="401" t="s">
        <v>17</v>
      </c>
      <c r="C330" s="401" t="s">
        <v>753</v>
      </c>
      <c r="D330" s="401" t="s">
        <v>437</v>
      </c>
      <c r="E330" s="701" t="s">
        <v>936</v>
      </c>
      <c r="F330" s="432" t="s">
        <v>585</v>
      </c>
      <c r="G330" s="433"/>
      <c r="H330" s="417">
        <v>10000</v>
      </c>
      <c r="I330" s="405">
        <f>G330*H330</f>
        <v>0</v>
      </c>
      <c r="J330" s="612">
        <f>yld*I330</f>
        <v>0</v>
      </c>
      <c r="K330" s="608">
        <f t="shared" si="733"/>
        <v>0</v>
      </c>
      <c r="L330" s="608">
        <f t="shared" si="716"/>
        <v>0</v>
      </c>
      <c r="M330" s="608">
        <f t="shared" si="716"/>
        <v>0</v>
      </c>
      <c r="O330" s="407">
        <v>25</v>
      </c>
      <c r="P330" s="408"/>
      <c r="Q330" s="408"/>
      <c r="R330" s="408"/>
      <c r="S330" s="408"/>
      <c r="T330" s="419">
        <f t="shared" si="719"/>
        <v>0</v>
      </c>
      <c r="U330" s="419">
        <f t="shared" si="719"/>
        <v>0</v>
      </c>
      <c r="V330" s="419">
        <f t="shared" si="719"/>
        <v>0</v>
      </c>
      <c r="W330" s="419">
        <f t="shared" si="719"/>
        <v>0</v>
      </c>
      <c r="X330" s="419">
        <f t="shared" si="719"/>
        <v>0</v>
      </c>
      <c r="Y330" s="419">
        <f t="shared" si="719"/>
        <v>0</v>
      </c>
      <c r="Z330" s="419">
        <f t="shared" si="719"/>
        <v>0</v>
      </c>
      <c r="AA330" s="419">
        <f t="shared" si="719"/>
        <v>0</v>
      </c>
      <c r="AC330" s="632">
        <f t="shared" si="734"/>
        <v>0</v>
      </c>
      <c r="AD330" s="632">
        <f t="shared" si="735"/>
        <v>0</v>
      </c>
      <c r="AE330" s="632">
        <f t="shared" si="736"/>
        <v>0</v>
      </c>
      <c r="AF330" s="632">
        <f t="shared" si="737"/>
        <v>0</v>
      </c>
      <c r="AG330" s="632">
        <f t="shared" si="738"/>
        <v>0</v>
      </c>
      <c r="AH330" s="632">
        <f t="shared" si="739"/>
        <v>0</v>
      </c>
      <c r="AI330" s="632">
        <f t="shared" si="740"/>
        <v>0</v>
      </c>
      <c r="AJ330" s="632">
        <f t="shared" si="741"/>
        <v>0</v>
      </c>
      <c r="AK330" s="632">
        <f t="shared" si="742"/>
        <v>0</v>
      </c>
      <c r="AL330" s="632">
        <f t="shared" si="743"/>
        <v>0</v>
      </c>
      <c r="AM330" s="632">
        <f t="shared" si="744"/>
        <v>0</v>
      </c>
      <c r="AN330" s="632">
        <f t="shared" si="745"/>
        <v>0</v>
      </c>
    </row>
    <row r="331" spans="1:49" s="390" customFormat="1" ht="15.5" thickBot="1" x14ac:dyDescent="0.4">
      <c r="A331" s="370"/>
      <c r="B331" s="370"/>
      <c r="C331" s="370"/>
      <c r="D331" s="370"/>
      <c r="E331" s="384" t="s">
        <v>640</v>
      </c>
      <c r="F331" s="384"/>
      <c r="G331" s="503"/>
      <c r="H331" s="426"/>
      <c r="I331" s="384"/>
      <c r="J331" s="389">
        <f>J332+J338</f>
        <v>78832.5</v>
      </c>
      <c r="K331" s="620">
        <f t="shared" ref="K331:M331" si="746">K332+K338</f>
        <v>78832.5</v>
      </c>
      <c r="L331" s="620">
        <f t="shared" si="746"/>
        <v>0</v>
      </c>
      <c r="M331" s="620">
        <f t="shared" si="746"/>
        <v>0</v>
      </c>
      <c r="N331" s="375" t="str">
        <f>IF(J331=K331+L331+M331,"OK","viga")</f>
        <v>OK</v>
      </c>
      <c r="P331" s="375"/>
      <c r="Q331" s="375"/>
      <c r="R331" s="375"/>
      <c r="S331" s="375"/>
      <c r="T331" s="375"/>
      <c r="U331" s="375"/>
      <c r="V331" s="375"/>
      <c r="W331" s="375"/>
      <c r="X331" s="375"/>
      <c r="Y331" s="375"/>
      <c r="Z331" s="375"/>
      <c r="AA331" s="375"/>
      <c r="AB331" s="375"/>
      <c r="AC331" s="375"/>
      <c r="AD331" s="375"/>
      <c r="AE331" s="375"/>
      <c r="AF331" s="375"/>
      <c r="AG331" s="375"/>
      <c r="AH331" s="375"/>
      <c r="AI331" s="375"/>
      <c r="AJ331" s="375"/>
      <c r="AK331" s="375"/>
      <c r="AL331" s="375"/>
      <c r="AM331" s="375"/>
      <c r="AN331" s="375"/>
      <c r="AO331" s="375"/>
      <c r="AP331" s="375"/>
      <c r="AQ331" s="375"/>
      <c r="AR331" s="375"/>
      <c r="AS331" s="375"/>
      <c r="AT331" s="375"/>
      <c r="AU331" s="375"/>
      <c r="AV331" s="375"/>
      <c r="AW331" s="375"/>
    </row>
    <row r="332" spans="1:49" ht="10.75" customHeight="1" outlineLevel="1" thickTop="1" x14ac:dyDescent="0.35">
      <c r="E332" s="391" t="s">
        <v>581</v>
      </c>
      <c r="F332" s="392"/>
      <c r="G332" s="392"/>
      <c r="H332" s="393"/>
      <c r="I332" s="394"/>
      <c r="J332" s="610">
        <f>J334+J336</f>
        <v>0</v>
      </c>
      <c r="K332" s="617">
        <f t="shared" ref="K332:M332" si="747">K334+K336</f>
        <v>0</v>
      </c>
      <c r="L332" s="617">
        <f t="shared" si="747"/>
        <v>0</v>
      </c>
      <c r="M332" s="617">
        <f t="shared" si="747"/>
        <v>0</v>
      </c>
      <c r="AC332" s="375"/>
      <c r="AD332" s="375"/>
      <c r="AE332" s="375"/>
      <c r="AF332" s="375"/>
      <c r="AG332" s="375"/>
      <c r="AH332" s="375"/>
      <c r="AI332" s="375"/>
      <c r="AJ332" s="375"/>
      <c r="AK332" s="375"/>
      <c r="AL332" s="375"/>
      <c r="AM332" s="375"/>
      <c r="AN332" s="375"/>
    </row>
    <row r="333" spans="1:49" ht="10.25" customHeight="1" outlineLevel="1" x14ac:dyDescent="0.35">
      <c r="A333" s="376" t="s">
        <v>8</v>
      </c>
      <c r="B333" s="376" t="s">
        <v>14</v>
      </c>
      <c r="C333" s="376" t="s">
        <v>13</v>
      </c>
      <c r="D333" s="376" t="s">
        <v>6</v>
      </c>
      <c r="E333" s="377" t="s">
        <v>0</v>
      </c>
      <c r="F333" s="378" t="s">
        <v>1</v>
      </c>
      <c r="G333" s="379" t="s">
        <v>2</v>
      </c>
      <c r="H333" s="380" t="s">
        <v>3</v>
      </c>
      <c r="I333" s="380" t="s">
        <v>4</v>
      </c>
      <c r="J333" s="609" t="s">
        <v>52</v>
      </c>
      <c r="K333" s="623"/>
      <c r="L333" s="623"/>
      <c r="M333" s="623"/>
      <c r="N333" s="390"/>
      <c r="O333" s="395" t="s">
        <v>181</v>
      </c>
      <c r="P333" s="382">
        <v>2024</v>
      </c>
      <c r="Q333" s="382">
        <v>2025</v>
      </c>
      <c r="R333" s="382">
        <v>2026</v>
      </c>
      <c r="S333" s="382">
        <v>2027</v>
      </c>
      <c r="T333" s="383">
        <v>2028</v>
      </c>
      <c r="U333" s="383">
        <v>2029</v>
      </c>
      <c r="V333" s="383">
        <v>2030</v>
      </c>
      <c r="W333" s="383">
        <v>2031</v>
      </c>
      <c r="X333" s="383">
        <v>2032</v>
      </c>
      <c r="Y333" s="383">
        <v>2033</v>
      </c>
      <c r="Z333" s="383">
        <v>2034</v>
      </c>
      <c r="AA333" s="383">
        <v>2035</v>
      </c>
      <c r="AC333" s="382">
        <v>2024</v>
      </c>
      <c r="AD333" s="382">
        <v>2025</v>
      </c>
      <c r="AE333" s="382">
        <v>2026</v>
      </c>
      <c r="AF333" s="382">
        <v>2027</v>
      </c>
      <c r="AG333" s="383">
        <v>2028</v>
      </c>
      <c r="AH333" s="383">
        <v>2029</v>
      </c>
      <c r="AI333" s="383">
        <v>2030</v>
      </c>
      <c r="AJ333" s="383">
        <v>2031</v>
      </c>
      <c r="AK333" s="383">
        <v>2032</v>
      </c>
      <c r="AL333" s="383">
        <v>2033</v>
      </c>
      <c r="AM333" s="383">
        <v>2034</v>
      </c>
      <c r="AN333" s="383">
        <v>2035</v>
      </c>
    </row>
    <row r="334" spans="1:49" s="390" customFormat="1" outlineLevel="1" x14ac:dyDescent="0.35">
      <c r="A334" s="370"/>
      <c r="B334" s="370"/>
      <c r="C334" s="370"/>
      <c r="D334" s="370"/>
      <c r="E334" s="396" t="s">
        <v>582</v>
      </c>
      <c r="F334" s="397"/>
      <c r="G334" s="397"/>
      <c r="H334" s="398"/>
      <c r="I334" s="399"/>
      <c r="J334" s="399">
        <f>SUM(J335:J335)</f>
        <v>0</v>
      </c>
      <c r="K334" s="621">
        <f t="shared" ref="K334:M334" si="748">SUM(K335:K335)</f>
        <v>0</v>
      </c>
      <c r="L334" s="621">
        <f t="shared" si="748"/>
        <v>0</v>
      </c>
      <c r="M334" s="621">
        <f t="shared" si="748"/>
        <v>0</v>
      </c>
      <c r="N334" s="375"/>
      <c r="O334" s="400"/>
      <c r="P334" s="400"/>
      <c r="Q334" s="400"/>
      <c r="R334" s="400"/>
      <c r="S334" s="400"/>
      <c r="T334" s="400"/>
      <c r="U334" s="400"/>
      <c r="V334" s="400"/>
      <c r="W334" s="400"/>
      <c r="X334" s="400"/>
      <c r="Y334" s="400"/>
      <c r="Z334" s="400"/>
      <c r="AA334" s="400"/>
      <c r="AB334" s="375"/>
      <c r="AC334" s="400"/>
      <c r="AD334" s="400"/>
      <c r="AE334" s="400"/>
      <c r="AF334" s="400"/>
      <c r="AG334" s="400"/>
      <c r="AH334" s="400"/>
      <c r="AI334" s="400"/>
      <c r="AJ334" s="400"/>
      <c r="AK334" s="400"/>
      <c r="AL334" s="400"/>
      <c r="AM334" s="400"/>
      <c r="AN334" s="400"/>
      <c r="AO334" s="375"/>
      <c r="AP334" s="375"/>
      <c r="AQ334" s="375"/>
      <c r="AR334" s="375"/>
      <c r="AS334" s="375"/>
      <c r="AT334" s="375"/>
      <c r="AU334" s="375"/>
      <c r="AV334" s="375"/>
      <c r="AW334" s="375"/>
    </row>
    <row r="335" spans="1:49" outlineLevel="1" x14ac:dyDescent="0.35">
      <c r="A335" s="401"/>
      <c r="B335" s="401"/>
      <c r="C335" s="401"/>
      <c r="D335" s="401"/>
      <c r="E335" s="161"/>
      <c r="F335" s="402"/>
      <c r="G335" s="403"/>
      <c r="H335" s="417"/>
      <c r="I335" s="405">
        <f>G335*H335</f>
        <v>0</v>
      </c>
      <c r="J335" s="612">
        <f>yld*I335</f>
        <v>0</v>
      </c>
      <c r="K335" s="608"/>
      <c r="L335" s="608"/>
      <c r="M335" s="608"/>
      <c r="N335" s="406"/>
      <c r="O335" s="407"/>
      <c r="P335" s="408"/>
      <c r="Q335" s="408"/>
      <c r="R335" s="408"/>
      <c r="S335" s="408"/>
      <c r="T335" s="408"/>
      <c r="U335" s="408"/>
      <c r="V335" s="408"/>
      <c r="W335" s="408"/>
      <c r="X335" s="408"/>
      <c r="Y335" s="408"/>
      <c r="Z335" s="408"/>
      <c r="AA335" s="408"/>
      <c r="AC335" s="632">
        <f>IFERROR(P335*$K335/$J335,0)</f>
        <v>0</v>
      </c>
      <c r="AD335" s="632">
        <f t="shared" ref="AD335" si="749">IFERROR(Q335*$K335/$J335,0)</f>
        <v>0</v>
      </c>
      <c r="AE335" s="632">
        <f t="shared" ref="AE335" si="750">IFERROR(R335*$K335/$J335,0)</f>
        <v>0</v>
      </c>
      <c r="AF335" s="632">
        <f t="shared" ref="AF335" si="751">IFERROR(S335*$K335/$J335,0)</f>
        <v>0</v>
      </c>
      <c r="AG335" s="632">
        <f t="shared" ref="AG335" si="752">IFERROR(T335*$K335/$J335,0)</f>
        <v>0</v>
      </c>
      <c r="AH335" s="632">
        <f t="shared" ref="AH335" si="753">IFERROR(U335*$K335/$J335,0)</f>
        <v>0</v>
      </c>
      <c r="AI335" s="632">
        <f t="shared" ref="AI335" si="754">IFERROR(V335*$K335/$J335,0)</f>
        <v>0</v>
      </c>
      <c r="AJ335" s="632">
        <f t="shared" ref="AJ335" si="755">IFERROR(W335*$K335/$J335,0)</f>
        <v>0</v>
      </c>
      <c r="AK335" s="632">
        <f t="shared" ref="AK335" si="756">IFERROR(X335*$K335/$J335,0)</f>
        <v>0</v>
      </c>
      <c r="AL335" s="632">
        <f t="shared" ref="AL335" si="757">IFERROR(Y335*$K335/$J335,0)</f>
        <v>0</v>
      </c>
      <c r="AM335" s="632">
        <f t="shared" ref="AM335" si="758">IFERROR(Z335*$K335/$J335,0)</f>
        <v>0</v>
      </c>
      <c r="AN335" s="632">
        <f t="shared" ref="AN335" si="759">IFERROR(AA335*$K335/$J335,0)</f>
        <v>0</v>
      </c>
    </row>
    <row r="336" spans="1:49" outlineLevel="1" x14ac:dyDescent="0.35">
      <c r="E336" s="410" t="s">
        <v>588</v>
      </c>
      <c r="F336" s="428"/>
      <c r="G336" s="428"/>
      <c r="H336" s="429"/>
      <c r="I336" s="430"/>
      <c r="J336" s="413">
        <f>SUM(J337:J337)</f>
        <v>0</v>
      </c>
      <c r="K336" s="622">
        <f t="shared" ref="K336:M336" si="760">SUM(K337:K337)</f>
        <v>0</v>
      </c>
      <c r="L336" s="622">
        <f t="shared" si="760"/>
        <v>0</v>
      </c>
      <c r="M336" s="622">
        <f t="shared" si="760"/>
        <v>0</v>
      </c>
      <c r="N336" s="390"/>
      <c r="O336" s="431"/>
      <c r="P336" s="431"/>
      <c r="Q336" s="431"/>
      <c r="R336" s="431"/>
      <c r="S336" s="431"/>
      <c r="T336" s="431"/>
      <c r="U336" s="431"/>
      <c r="V336" s="431"/>
      <c r="W336" s="431"/>
      <c r="X336" s="431"/>
      <c r="Y336" s="431"/>
      <c r="Z336" s="431"/>
      <c r="AA336" s="431"/>
      <c r="AC336" s="431"/>
      <c r="AD336" s="431"/>
      <c r="AE336" s="431"/>
      <c r="AF336" s="431"/>
      <c r="AG336" s="431"/>
      <c r="AH336" s="431"/>
      <c r="AI336" s="431"/>
      <c r="AJ336" s="431"/>
      <c r="AK336" s="431"/>
      <c r="AL336" s="431"/>
      <c r="AM336" s="431"/>
      <c r="AN336" s="431"/>
    </row>
    <row r="337" spans="1:49" outlineLevel="1" x14ac:dyDescent="0.35">
      <c r="A337" s="401"/>
      <c r="B337" s="401"/>
      <c r="C337" s="401"/>
      <c r="D337" s="401"/>
      <c r="E337" s="427"/>
      <c r="F337" s="440"/>
      <c r="G337" s="438"/>
      <c r="H337" s="424"/>
      <c r="I337" s="405">
        <f>G337*H337</f>
        <v>0</v>
      </c>
      <c r="J337" s="612">
        <f>yld*I337</f>
        <v>0</v>
      </c>
      <c r="K337" s="608"/>
      <c r="L337" s="608"/>
      <c r="M337" s="608"/>
      <c r="N337" s="441"/>
      <c r="O337" s="407"/>
      <c r="P337" s="408"/>
      <c r="Q337" s="408"/>
      <c r="R337" s="408"/>
      <c r="S337" s="408"/>
      <c r="T337" s="408"/>
      <c r="U337" s="408"/>
      <c r="V337" s="408"/>
      <c r="W337" s="408"/>
      <c r="X337" s="408"/>
      <c r="Y337" s="408"/>
      <c r="Z337" s="408"/>
      <c r="AA337" s="408"/>
      <c r="AC337" s="632">
        <f>IFERROR(P337*$K337/$J337,0)</f>
        <v>0</v>
      </c>
      <c r="AD337" s="632">
        <f t="shared" ref="AD337" si="761">IFERROR(Q337*$K337/$J337,0)</f>
        <v>0</v>
      </c>
      <c r="AE337" s="632">
        <f t="shared" ref="AE337" si="762">IFERROR(R337*$K337/$J337,0)</f>
        <v>0</v>
      </c>
      <c r="AF337" s="632">
        <f t="shared" ref="AF337" si="763">IFERROR(S337*$K337/$J337,0)</f>
        <v>0</v>
      </c>
      <c r="AG337" s="632">
        <f t="shared" ref="AG337" si="764">IFERROR(T337*$K337/$J337,0)</f>
        <v>0</v>
      </c>
      <c r="AH337" s="632">
        <f t="shared" ref="AH337" si="765">IFERROR(U337*$K337/$J337,0)</f>
        <v>0</v>
      </c>
      <c r="AI337" s="632">
        <f t="shared" ref="AI337" si="766">IFERROR(V337*$K337/$J337,0)</f>
        <v>0</v>
      </c>
      <c r="AJ337" s="632">
        <f t="shared" ref="AJ337" si="767">IFERROR(W337*$K337/$J337,0)</f>
        <v>0</v>
      </c>
      <c r="AK337" s="632">
        <f t="shared" ref="AK337" si="768">IFERROR(X337*$K337/$J337,0)</f>
        <v>0</v>
      </c>
      <c r="AL337" s="632">
        <f t="shared" ref="AL337" si="769">IFERROR(Y337*$K337/$J337,0)</f>
        <v>0</v>
      </c>
      <c r="AM337" s="632">
        <f t="shared" ref="AM337" si="770">IFERROR(Z337*$K337/$J337,0)</f>
        <v>0</v>
      </c>
      <c r="AN337" s="632">
        <f t="shared" ref="AN337" si="771">IFERROR(AA337*$K337/$J337,0)</f>
        <v>0</v>
      </c>
    </row>
    <row r="338" spans="1:49" ht="10" x14ac:dyDescent="0.35">
      <c r="E338" s="420" t="s">
        <v>594</v>
      </c>
      <c r="F338" s="421"/>
      <c r="G338" s="421"/>
      <c r="H338" s="422"/>
      <c r="I338" s="423"/>
      <c r="J338" s="614">
        <f>J340+J344</f>
        <v>78832.5</v>
      </c>
      <c r="K338" s="617">
        <f t="shared" ref="K338:M338" si="772">K340+K344</f>
        <v>78832.5</v>
      </c>
      <c r="L338" s="617">
        <f t="shared" si="772"/>
        <v>0</v>
      </c>
      <c r="M338" s="617">
        <f t="shared" si="772"/>
        <v>0</v>
      </c>
      <c r="N338" s="436"/>
      <c r="O338" s="375"/>
      <c r="AC338" s="375"/>
      <c r="AD338" s="375"/>
      <c r="AE338" s="375"/>
      <c r="AF338" s="375"/>
      <c r="AG338" s="375"/>
      <c r="AH338" s="375"/>
      <c r="AI338" s="375"/>
      <c r="AJ338" s="375"/>
      <c r="AK338" s="375"/>
      <c r="AL338" s="375"/>
      <c r="AM338" s="375"/>
      <c r="AN338" s="375"/>
    </row>
    <row r="339" spans="1:49" s="390" customFormat="1" x14ac:dyDescent="0.35">
      <c r="A339" s="376" t="s">
        <v>8</v>
      </c>
      <c r="B339" s="376" t="s">
        <v>14</v>
      </c>
      <c r="C339" s="376" t="s">
        <v>13</v>
      </c>
      <c r="D339" s="376" t="s">
        <v>6</v>
      </c>
      <c r="E339" s="377" t="s">
        <v>0</v>
      </c>
      <c r="F339" s="378" t="s">
        <v>1</v>
      </c>
      <c r="G339" s="379" t="s">
        <v>2</v>
      </c>
      <c r="H339" s="380" t="s">
        <v>3</v>
      </c>
      <c r="I339" s="380" t="s">
        <v>4</v>
      </c>
      <c r="J339" s="609" t="s">
        <v>52</v>
      </c>
      <c r="K339" s="623"/>
      <c r="L339" s="623"/>
      <c r="M339" s="623"/>
      <c r="N339" s="442"/>
      <c r="O339" s="395" t="s">
        <v>181</v>
      </c>
      <c r="P339" s="382">
        <v>2024</v>
      </c>
      <c r="Q339" s="382">
        <v>2025</v>
      </c>
      <c r="R339" s="382">
        <v>2026</v>
      </c>
      <c r="S339" s="382">
        <v>2027</v>
      </c>
      <c r="T339" s="383">
        <v>2028</v>
      </c>
      <c r="U339" s="383">
        <v>2029</v>
      </c>
      <c r="V339" s="383">
        <v>2030</v>
      </c>
      <c r="W339" s="383">
        <v>2031</v>
      </c>
      <c r="X339" s="383">
        <v>2032</v>
      </c>
      <c r="Y339" s="383">
        <v>2033</v>
      </c>
      <c r="Z339" s="383">
        <v>2034</v>
      </c>
      <c r="AA339" s="383">
        <v>2035</v>
      </c>
      <c r="AB339" s="375"/>
      <c r="AC339" s="382">
        <v>2024</v>
      </c>
      <c r="AD339" s="382">
        <v>2025</v>
      </c>
      <c r="AE339" s="382">
        <v>2026</v>
      </c>
      <c r="AF339" s="382">
        <v>2027</v>
      </c>
      <c r="AG339" s="383">
        <v>2028</v>
      </c>
      <c r="AH339" s="383">
        <v>2029</v>
      </c>
      <c r="AI339" s="383">
        <v>2030</v>
      </c>
      <c r="AJ339" s="383">
        <v>2031</v>
      </c>
      <c r="AK339" s="383">
        <v>2032</v>
      </c>
      <c r="AL339" s="383">
        <v>2033</v>
      </c>
      <c r="AM339" s="383">
        <v>2034</v>
      </c>
      <c r="AN339" s="383">
        <v>2035</v>
      </c>
      <c r="AO339" s="375"/>
      <c r="AP339" s="375"/>
      <c r="AQ339" s="375"/>
      <c r="AR339" s="375"/>
      <c r="AS339" s="375"/>
      <c r="AT339" s="375"/>
      <c r="AU339" s="375"/>
      <c r="AV339" s="375"/>
      <c r="AW339" s="375"/>
    </row>
    <row r="340" spans="1:49" ht="10.75" customHeight="1" x14ac:dyDescent="0.35">
      <c r="E340" s="396" t="s">
        <v>582</v>
      </c>
      <c r="F340" s="397"/>
      <c r="G340" s="397"/>
      <c r="H340" s="398"/>
      <c r="I340" s="399"/>
      <c r="J340" s="399">
        <f>SUM(J341:J343)</f>
        <v>78832.5</v>
      </c>
      <c r="K340" s="621">
        <f t="shared" ref="K340:M340" si="773">SUM(K341:K343)</f>
        <v>78832.5</v>
      </c>
      <c r="L340" s="621">
        <f t="shared" si="773"/>
        <v>0</v>
      </c>
      <c r="M340" s="621">
        <f t="shared" si="773"/>
        <v>0</v>
      </c>
      <c r="O340" s="400"/>
      <c r="P340" s="400"/>
      <c r="Q340" s="400"/>
      <c r="R340" s="400"/>
      <c r="S340" s="400"/>
      <c r="T340" s="400"/>
      <c r="U340" s="400"/>
      <c r="V340" s="400"/>
      <c r="W340" s="400"/>
      <c r="X340" s="400"/>
      <c r="Y340" s="400"/>
      <c r="Z340" s="400"/>
      <c r="AA340" s="400"/>
      <c r="AC340" s="400"/>
      <c r="AD340" s="400"/>
      <c r="AE340" s="400"/>
      <c r="AF340" s="400"/>
      <c r="AG340" s="400"/>
      <c r="AH340" s="400"/>
      <c r="AI340" s="400"/>
      <c r="AJ340" s="400"/>
      <c r="AK340" s="400"/>
      <c r="AL340" s="400"/>
      <c r="AM340" s="400"/>
      <c r="AN340" s="400"/>
    </row>
    <row r="341" spans="1:49" x14ac:dyDescent="0.35">
      <c r="A341" s="401" t="s">
        <v>595</v>
      </c>
      <c r="B341" s="401" t="s">
        <v>15</v>
      </c>
      <c r="C341" s="401" t="s">
        <v>748</v>
      </c>
      <c r="D341" s="401" t="s">
        <v>435</v>
      </c>
      <c r="E341" s="161" t="s">
        <v>641</v>
      </c>
      <c r="F341" s="402" t="s">
        <v>585</v>
      </c>
      <c r="G341" s="403">
        <v>1</v>
      </c>
      <c r="H341" s="417">
        <v>35000</v>
      </c>
      <c r="I341" s="405">
        <f>G341*H341</f>
        <v>35000</v>
      </c>
      <c r="J341" s="612">
        <f>yld*I341</f>
        <v>40250</v>
      </c>
      <c r="K341" s="608">
        <f t="shared" ref="K341:K343" si="774">J341-L341-M341</f>
        <v>40250</v>
      </c>
      <c r="L341" s="608"/>
      <c r="M341" s="608"/>
      <c r="N341" s="406"/>
      <c r="O341" s="407">
        <v>15</v>
      </c>
      <c r="P341" s="408"/>
      <c r="Q341" s="408"/>
      <c r="R341" s="408"/>
      <c r="S341" s="408"/>
      <c r="T341" s="419">
        <f t="shared" ref="T341:AA343" si="775">$J341/8</f>
        <v>5031.25</v>
      </c>
      <c r="U341" s="419">
        <f t="shared" si="775"/>
        <v>5031.25</v>
      </c>
      <c r="V341" s="419">
        <f t="shared" si="775"/>
        <v>5031.25</v>
      </c>
      <c r="W341" s="419">
        <f t="shared" si="775"/>
        <v>5031.25</v>
      </c>
      <c r="X341" s="419">
        <f t="shared" si="775"/>
        <v>5031.25</v>
      </c>
      <c r="Y341" s="419">
        <f t="shared" si="775"/>
        <v>5031.25</v>
      </c>
      <c r="Z341" s="419">
        <f t="shared" si="775"/>
        <v>5031.25</v>
      </c>
      <c r="AA341" s="419">
        <f t="shared" si="775"/>
        <v>5031.25</v>
      </c>
      <c r="AC341" s="632">
        <f t="shared" ref="AC341:AC343" si="776">IFERROR(P341*$K341/$J341,0)</f>
        <v>0</v>
      </c>
      <c r="AD341" s="632">
        <f t="shared" ref="AD341:AD343" si="777">IFERROR(Q341*$K341/$J341,0)</f>
        <v>0</v>
      </c>
      <c r="AE341" s="632">
        <f t="shared" ref="AE341:AE343" si="778">IFERROR(R341*$K341/$J341,0)</f>
        <v>0</v>
      </c>
      <c r="AF341" s="632">
        <f t="shared" ref="AF341:AF343" si="779">IFERROR(S341*$K341/$J341,0)</f>
        <v>0</v>
      </c>
      <c r="AG341" s="632">
        <f t="shared" ref="AG341:AG343" si="780">IFERROR(T341*$K341/$J341,0)</f>
        <v>5031.25</v>
      </c>
      <c r="AH341" s="632">
        <f t="shared" ref="AH341:AH343" si="781">IFERROR(U341*$K341/$J341,0)</f>
        <v>5031.25</v>
      </c>
      <c r="AI341" s="632">
        <f t="shared" ref="AI341:AI343" si="782">IFERROR(V341*$K341/$J341,0)</f>
        <v>5031.25</v>
      </c>
      <c r="AJ341" s="632">
        <f t="shared" ref="AJ341:AJ343" si="783">IFERROR(W341*$K341/$J341,0)</f>
        <v>5031.25</v>
      </c>
      <c r="AK341" s="632">
        <f t="shared" ref="AK341:AK343" si="784">IFERROR(X341*$K341/$J341,0)</f>
        <v>5031.25</v>
      </c>
      <c r="AL341" s="632">
        <f t="shared" ref="AL341:AL343" si="785">IFERROR(Y341*$K341/$J341,0)</f>
        <v>5031.25</v>
      </c>
      <c r="AM341" s="632">
        <f t="shared" ref="AM341:AM343" si="786">IFERROR(Z341*$K341/$J341,0)</f>
        <v>5031.25</v>
      </c>
      <c r="AN341" s="632">
        <f t="shared" ref="AN341:AN343" si="787">IFERROR(AA341*$K341/$J341,0)</f>
        <v>5031.25</v>
      </c>
    </row>
    <row r="342" spans="1:49" s="390" customFormat="1" x14ac:dyDescent="0.35">
      <c r="A342" s="401" t="s">
        <v>595</v>
      </c>
      <c r="B342" s="401" t="s">
        <v>15</v>
      </c>
      <c r="C342" s="401" t="s">
        <v>596</v>
      </c>
      <c r="D342" s="401" t="s">
        <v>435</v>
      </c>
      <c r="E342" s="140" t="s">
        <v>638</v>
      </c>
      <c r="F342" s="432" t="s">
        <v>9</v>
      </c>
      <c r="G342" s="433">
        <f>MROUND(206+43,10)</f>
        <v>250</v>
      </c>
      <c r="H342" s="404">
        <f>Ühikhinnad!$C$2</f>
        <v>130</v>
      </c>
      <c r="I342" s="405">
        <f>G342*H342</f>
        <v>32500</v>
      </c>
      <c r="J342" s="612">
        <f>yld*I342</f>
        <v>37375</v>
      </c>
      <c r="K342" s="608">
        <f t="shared" si="774"/>
        <v>37375</v>
      </c>
      <c r="L342" s="608"/>
      <c r="M342" s="608"/>
      <c r="N342" s="406"/>
      <c r="O342" s="407">
        <v>50</v>
      </c>
      <c r="P342" s="408"/>
      <c r="Q342" s="408"/>
      <c r="R342" s="408"/>
      <c r="S342" s="408"/>
      <c r="T342" s="419">
        <f t="shared" si="775"/>
        <v>4671.875</v>
      </c>
      <c r="U342" s="419">
        <f t="shared" si="775"/>
        <v>4671.875</v>
      </c>
      <c r="V342" s="419">
        <f t="shared" si="775"/>
        <v>4671.875</v>
      </c>
      <c r="W342" s="419">
        <f t="shared" si="775"/>
        <v>4671.875</v>
      </c>
      <c r="X342" s="419">
        <f t="shared" si="775"/>
        <v>4671.875</v>
      </c>
      <c r="Y342" s="419">
        <f t="shared" si="775"/>
        <v>4671.875</v>
      </c>
      <c r="Z342" s="419">
        <f t="shared" si="775"/>
        <v>4671.875</v>
      </c>
      <c r="AA342" s="419">
        <f t="shared" si="775"/>
        <v>4671.875</v>
      </c>
      <c r="AB342" s="375"/>
      <c r="AC342" s="632">
        <f t="shared" si="776"/>
        <v>0</v>
      </c>
      <c r="AD342" s="632">
        <f t="shared" si="777"/>
        <v>0</v>
      </c>
      <c r="AE342" s="632">
        <f t="shared" si="778"/>
        <v>0</v>
      </c>
      <c r="AF342" s="632">
        <f t="shared" si="779"/>
        <v>0</v>
      </c>
      <c r="AG342" s="632">
        <f t="shared" si="780"/>
        <v>4671.875</v>
      </c>
      <c r="AH342" s="632">
        <f t="shared" si="781"/>
        <v>4671.875</v>
      </c>
      <c r="AI342" s="632">
        <f t="shared" si="782"/>
        <v>4671.875</v>
      </c>
      <c r="AJ342" s="632">
        <f t="shared" si="783"/>
        <v>4671.875</v>
      </c>
      <c r="AK342" s="632">
        <f t="shared" si="784"/>
        <v>4671.875</v>
      </c>
      <c r="AL342" s="632">
        <f t="shared" si="785"/>
        <v>4671.875</v>
      </c>
      <c r="AM342" s="632">
        <f t="shared" si="786"/>
        <v>4671.875</v>
      </c>
      <c r="AN342" s="632">
        <f t="shared" si="787"/>
        <v>4671.875</v>
      </c>
      <c r="AO342" s="375"/>
      <c r="AP342" s="375"/>
      <c r="AQ342" s="375"/>
      <c r="AR342" s="375"/>
      <c r="AS342" s="375"/>
      <c r="AT342" s="375"/>
      <c r="AU342" s="375"/>
      <c r="AV342" s="375"/>
      <c r="AW342" s="375"/>
    </row>
    <row r="343" spans="1:49" s="390" customFormat="1" x14ac:dyDescent="0.35">
      <c r="A343" s="401" t="s">
        <v>595</v>
      </c>
      <c r="B343" s="401" t="s">
        <v>15</v>
      </c>
      <c r="C343" s="401" t="s">
        <v>596</v>
      </c>
      <c r="D343" s="401" t="s">
        <v>435</v>
      </c>
      <c r="E343" s="140" t="s">
        <v>610</v>
      </c>
      <c r="F343" s="432" t="s">
        <v>5</v>
      </c>
      <c r="G343" s="433">
        <v>3</v>
      </c>
      <c r="H343" s="404">
        <f>Ühikhinnad!$C$11</f>
        <v>350</v>
      </c>
      <c r="I343" s="405">
        <f>G343*H343</f>
        <v>1050</v>
      </c>
      <c r="J343" s="612">
        <f>yld*I343</f>
        <v>1207.5</v>
      </c>
      <c r="K343" s="608">
        <f t="shared" si="774"/>
        <v>1207.5</v>
      </c>
      <c r="L343" s="608"/>
      <c r="M343" s="608"/>
      <c r="N343" s="406"/>
      <c r="O343" s="407">
        <v>50</v>
      </c>
      <c r="P343" s="408"/>
      <c r="Q343" s="408"/>
      <c r="R343" s="408"/>
      <c r="S343" s="408"/>
      <c r="T343" s="419">
        <f t="shared" si="775"/>
        <v>150.9375</v>
      </c>
      <c r="U343" s="419">
        <f t="shared" si="775"/>
        <v>150.9375</v>
      </c>
      <c r="V343" s="419">
        <f t="shared" si="775"/>
        <v>150.9375</v>
      </c>
      <c r="W343" s="419">
        <f t="shared" si="775"/>
        <v>150.9375</v>
      </c>
      <c r="X343" s="419">
        <f t="shared" si="775"/>
        <v>150.9375</v>
      </c>
      <c r="Y343" s="419">
        <f t="shared" si="775"/>
        <v>150.9375</v>
      </c>
      <c r="Z343" s="419">
        <f t="shared" si="775"/>
        <v>150.9375</v>
      </c>
      <c r="AA343" s="419">
        <f t="shared" si="775"/>
        <v>150.9375</v>
      </c>
      <c r="AB343" s="375"/>
      <c r="AC343" s="632">
        <f t="shared" si="776"/>
        <v>0</v>
      </c>
      <c r="AD343" s="632">
        <f t="shared" si="777"/>
        <v>0</v>
      </c>
      <c r="AE343" s="632">
        <f t="shared" si="778"/>
        <v>0</v>
      </c>
      <c r="AF343" s="632">
        <f t="shared" si="779"/>
        <v>0</v>
      </c>
      <c r="AG343" s="632">
        <f t="shared" si="780"/>
        <v>150.9375</v>
      </c>
      <c r="AH343" s="632">
        <f t="shared" si="781"/>
        <v>150.9375</v>
      </c>
      <c r="AI343" s="632">
        <f t="shared" si="782"/>
        <v>150.9375</v>
      </c>
      <c r="AJ343" s="632">
        <f t="shared" si="783"/>
        <v>150.9375</v>
      </c>
      <c r="AK343" s="632">
        <f t="shared" si="784"/>
        <v>150.9375</v>
      </c>
      <c r="AL343" s="632">
        <f t="shared" si="785"/>
        <v>150.9375</v>
      </c>
      <c r="AM343" s="632">
        <f t="shared" si="786"/>
        <v>150.9375</v>
      </c>
      <c r="AN343" s="632">
        <f t="shared" si="787"/>
        <v>150.9375</v>
      </c>
      <c r="AO343" s="375"/>
      <c r="AP343" s="375"/>
      <c r="AQ343" s="375"/>
      <c r="AR343" s="375"/>
      <c r="AS343" s="375"/>
      <c r="AT343" s="375"/>
      <c r="AU343" s="375"/>
      <c r="AV343" s="375"/>
      <c r="AW343" s="375"/>
    </row>
    <row r="344" spans="1:49" outlineLevel="1" x14ac:dyDescent="0.35">
      <c r="E344" s="410" t="s">
        <v>588</v>
      </c>
      <c r="F344" s="428"/>
      <c r="G344" s="428"/>
      <c r="H344" s="429"/>
      <c r="I344" s="430"/>
      <c r="J344" s="413">
        <f>SUM(J345:J345)</f>
        <v>0</v>
      </c>
      <c r="K344" s="622">
        <f t="shared" ref="K344:M344" si="788">SUM(K345:K345)</f>
        <v>0</v>
      </c>
      <c r="L344" s="622">
        <f t="shared" si="788"/>
        <v>0</v>
      </c>
      <c r="M344" s="622">
        <f t="shared" si="788"/>
        <v>0</v>
      </c>
      <c r="O344" s="431"/>
      <c r="P344" s="431"/>
      <c r="Q344" s="431"/>
      <c r="R344" s="431"/>
      <c r="S344" s="431"/>
      <c r="T344" s="431"/>
      <c r="U344" s="431"/>
      <c r="V344" s="431"/>
      <c r="W344" s="431"/>
      <c r="X344" s="431"/>
      <c r="Y344" s="431"/>
      <c r="Z344" s="431"/>
      <c r="AA344" s="431"/>
      <c r="AC344" s="431"/>
      <c r="AD344" s="431"/>
      <c r="AE344" s="431"/>
      <c r="AF344" s="431"/>
      <c r="AG344" s="431"/>
      <c r="AH344" s="431"/>
      <c r="AI344" s="431"/>
      <c r="AJ344" s="431"/>
      <c r="AK344" s="431"/>
      <c r="AL344" s="431"/>
      <c r="AM344" s="431"/>
      <c r="AN344" s="431"/>
    </row>
    <row r="345" spans="1:49" outlineLevel="1" x14ac:dyDescent="0.35">
      <c r="A345" s="401"/>
      <c r="B345" s="401"/>
      <c r="C345" s="401"/>
      <c r="D345" s="401"/>
      <c r="E345" s="427"/>
      <c r="F345" s="432"/>
      <c r="G345" s="433"/>
      <c r="H345" s="434"/>
      <c r="I345" s="405">
        <f>G345*H345</f>
        <v>0</v>
      </c>
      <c r="J345" s="612">
        <f>yld*I345</f>
        <v>0</v>
      </c>
      <c r="K345" s="608"/>
      <c r="L345" s="608"/>
      <c r="M345" s="608"/>
      <c r="O345" s="407"/>
      <c r="P345" s="408"/>
      <c r="Q345" s="408"/>
      <c r="R345" s="408"/>
      <c r="S345" s="408"/>
      <c r="T345" s="408"/>
      <c r="U345" s="408"/>
      <c r="V345" s="408"/>
      <c r="W345" s="408"/>
      <c r="X345" s="408"/>
      <c r="Y345" s="408"/>
      <c r="Z345" s="408"/>
      <c r="AA345" s="408"/>
      <c r="AC345" s="632">
        <f>IFERROR(P345*$K345/$J345,0)</f>
        <v>0</v>
      </c>
      <c r="AD345" s="632">
        <f t="shared" ref="AD345" si="789">IFERROR(Q345*$K345/$J345,0)</f>
        <v>0</v>
      </c>
      <c r="AE345" s="632">
        <f t="shared" ref="AE345" si="790">IFERROR(R345*$K345/$J345,0)</f>
        <v>0</v>
      </c>
      <c r="AF345" s="632">
        <f t="shared" ref="AF345" si="791">IFERROR(S345*$K345/$J345,0)</f>
        <v>0</v>
      </c>
      <c r="AG345" s="632">
        <f t="shared" ref="AG345" si="792">IFERROR(T345*$K345/$J345,0)</f>
        <v>0</v>
      </c>
      <c r="AH345" s="632">
        <f t="shared" ref="AH345" si="793">IFERROR(U345*$K345/$J345,0)</f>
        <v>0</v>
      </c>
      <c r="AI345" s="632">
        <f t="shared" ref="AI345" si="794">IFERROR(V345*$K345/$J345,0)</f>
        <v>0</v>
      </c>
      <c r="AJ345" s="632">
        <f t="shared" ref="AJ345" si="795">IFERROR(W345*$K345/$J345,0)</f>
        <v>0</v>
      </c>
      <c r="AK345" s="632">
        <f t="shared" ref="AK345" si="796">IFERROR(X345*$K345/$J345,0)</f>
        <v>0</v>
      </c>
      <c r="AL345" s="632">
        <f t="shared" ref="AL345" si="797">IFERROR(Y345*$K345/$J345,0)</f>
        <v>0</v>
      </c>
      <c r="AM345" s="632">
        <f t="shared" ref="AM345" si="798">IFERROR(Z345*$K345/$J345,0)</f>
        <v>0</v>
      </c>
      <c r="AN345" s="632">
        <f t="shared" ref="AN345" si="799">IFERROR(AA345*$K345/$J345,0)</f>
        <v>0</v>
      </c>
    </row>
    <row r="346" spans="1:49" s="390" customFormat="1" ht="10" x14ac:dyDescent="0.35">
      <c r="A346" s="370"/>
      <c r="B346" s="370"/>
      <c r="C346" s="370"/>
      <c r="D346" s="370"/>
      <c r="E346" s="481" t="s">
        <v>659</v>
      </c>
      <c r="F346" s="482"/>
      <c r="G346" s="482"/>
      <c r="H346" s="483"/>
      <c r="I346" s="484"/>
      <c r="J346" s="611">
        <f>J348+J353</f>
        <v>6216152.5</v>
      </c>
      <c r="K346" s="607"/>
      <c r="L346" s="607"/>
      <c r="M346" s="607"/>
      <c r="N346" s="436" t="s">
        <v>626</v>
      </c>
      <c r="O346" s="375"/>
      <c r="P346" s="375"/>
      <c r="Q346" s="375"/>
      <c r="R346" s="375"/>
      <c r="S346" s="375"/>
      <c r="T346" s="375"/>
      <c r="U346" s="375"/>
      <c r="V346" s="375"/>
      <c r="W346" s="375"/>
      <c r="X346" s="375"/>
      <c r="Y346" s="375"/>
      <c r="Z346" s="375"/>
      <c r="AA346" s="375"/>
      <c r="AC346" s="375"/>
      <c r="AD346" s="375"/>
      <c r="AE346" s="375"/>
      <c r="AF346" s="375"/>
      <c r="AG346" s="375"/>
      <c r="AH346" s="375"/>
      <c r="AI346" s="375"/>
      <c r="AJ346" s="375"/>
      <c r="AK346" s="375"/>
      <c r="AL346" s="375"/>
      <c r="AM346" s="375"/>
      <c r="AN346" s="375"/>
      <c r="AO346" s="375"/>
      <c r="AP346" s="375"/>
      <c r="AQ346" s="375"/>
      <c r="AR346" s="375"/>
      <c r="AS346" s="375"/>
      <c r="AT346" s="375"/>
      <c r="AU346" s="375"/>
      <c r="AV346" s="375"/>
      <c r="AW346" s="375"/>
    </row>
    <row r="347" spans="1:49" x14ac:dyDescent="0.35">
      <c r="E347" s="377" t="s">
        <v>0</v>
      </c>
      <c r="F347" s="378" t="s">
        <v>1</v>
      </c>
      <c r="G347" s="379" t="s">
        <v>2</v>
      </c>
      <c r="H347" s="380" t="s">
        <v>3</v>
      </c>
      <c r="I347" s="380" t="s">
        <v>4</v>
      </c>
      <c r="J347" s="609" t="s">
        <v>52</v>
      </c>
      <c r="K347" s="606"/>
      <c r="L347" s="606"/>
      <c r="M347" s="606"/>
      <c r="N347" s="390"/>
      <c r="P347" s="390"/>
      <c r="Q347" s="390"/>
      <c r="R347" s="390"/>
      <c r="S347" s="390"/>
      <c r="T347" s="390"/>
      <c r="U347" s="390"/>
      <c r="V347" s="390"/>
      <c r="W347" s="390"/>
      <c r="X347" s="390"/>
      <c r="Y347" s="390"/>
      <c r="Z347" s="390"/>
      <c r="AA347" s="390"/>
      <c r="AC347" s="390"/>
      <c r="AD347" s="390"/>
      <c r="AE347" s="390"/>
      <c r="AF347" s="390"/>
      <c r="AG347" s="390"/>
      <c r="AH347" s="390"/>
      <c r="AI347" s="390"/>
      <c r="AJ347" s="390"/>
      <c r="AK347" s="390"/>
      <c r="AL347" s="390"/>
      <c r="AM347" s="390"/>
      <c r="AN347" s="390"/>
    </row>
    <row r="348" spans="1:49" x14ac:dyDescent="0.35">
      <c r="E348" s="396" t="s">
        <v>582</v>
      </c>
      <c r="F348" s="397"/>
      <c r="G348" s="397"/>
      <c r="H348" s="398"/>
      <c r="I348" s="399"/>
      <c r="J348" s="399">
        <f>SUM(J349:J352)</f>
        <v>1802740</v>
      </c>
      <c r="K348" s="625"/>
      <c r="L348" s="625"/>
      <c r="M348" s="625"/>
      <c r="AC348" s="375"/>
      <c r="AD348" s="375"/>
      <c r="AE348" s="375"/>
      <c r="AF348" s="375"/>
      <c r="AG348" s="375"/>
      <c r="AH348" s="375"/>
      <c r="AI348" s="375"/>
      <c r="AJ348" s="375"/>
      <c r="AK348" s="375"/>
      <c r="AL348" s="375"/>
      <c r="AM348" s="375"/>
      <c r="AN348" s="375"/>
    </row>
    <row r="349" spans="1:49" x14ac:dyDescent="0.35">
      <c r="A349" s="517" t="s">
        <v>737</v>
      </c>
      <c r="B349" s="517" t="s">
        <v>15</v>
      </c>
      <c r="C349" s="517"/>
      <c r="D349" s="517" t="s">
        <v>435</v>
      </c>
      <c r="E349" s="140" t="s">
        <v>801</v>
      </c>
      <c r="F349" s="402" t="s">
        <v>585</v>
      </c>
      <c r="G349" s="403">
        <v>1</v>
      </c>
      <c r="H349" s="417">
        <f>Ühikhinnad!$J$55</f>
        <v>389000</v>
      </c>
      <c r="I349" s="405">
        <f>G349*H349</f>
        <v>389000</v>
      </c>
      <c r="J349" s="612">
        <f>yld*I349</f>
        <v>447349.99999999994</v>
      </c>
      <c r="K349" s="608"/>
      <c r="L349" s="608"/>
      <c r="M349" s="608"/>
      <c r="O349" s="375"/>
    </row>
    <row r="350" spans="1:49" x14ac:dyDescent="0.35">
      <c r="A350" s="517" t="s">
        <v>737</v>
      </c>
      <c r="B350" s="517" t="s">
        <v>15</v>
      </c>
      <c r="C350" s="517"/>
      <c r="D350" s="517" t="s">
        <v>435</v>
      </c>
      <c r="E350" s="140" t="s">
        <v>812</v>
      </c>
      <c r="F350" s="402" t="s">
        <v>9</v>
      </c>
      <c r="G350" s="403">
        <v>195</v>
      </c>
      <c r="H350" s="404">
        <f>Ühikhinnad!$C$2</f>
        <v>130</v>
      </c>
      <c r="I350" s="405">
        <f>G350*H350</f>
        <v>25350</v>
      </c>
      <c r="J350" s="612">
        <f>yld*I350</f>
        <v>29152.499999999996</v>
      </c>
      <c r="K350" s="608"/>
      <c r="L350" s="608"/>
      <c r="M350" s="608"/>
      <c r="O350" s="375"/>
    </row>
    <row r="351" spans="1:49" x14ac:dyDescent="0.35">
      <c r="A351" s="517" t="s">
        <v>737</v>
      </c>
      <c r="B351" s="517" t="s">
        <v>15</v>
      </c>
      <c r="C351" s="517"/>
      <c r="D351" s="517" t="s">
        <v>435</v>
      </c>
      <c r="E351" s="140" t="s">
        <v>813</v>
      </c>
      <c r="F351" s="402" t="s">
        <v>9</v>
      </c>
      <c r="G351" s="403">
        <f>13320-195</f>
        <v>13125</v>
      </c>
      <c r="H351" s="404">
        <f>Ühikhinnad!$C$3</f>
        <v>80</v>
      </c>
      <c r="I351" s="405">
        <f>G351*H351</f>
        <v>1050000</v>
      </c>
      <c r="J351" s="612">
        <f>yld*I351</f>
        <v>1207500</v>
      </c>
      <c r="K351" s="608"/>
      <c r="L351" s="608"/>
      <c r="M351" s="608"/>
      <c r="O351" s="375"/>
    </row>
    <row r="352" spans="1:49" x14ac:dyDescent="0.35">
      <c r="A352" s="517" t="s">
        <v>737</v>
      </c>
      <c r="B352" s="517" t="s">
        <v>15</v>
      </c>
      <c r="C352" s="517"/>
      <c r="D352" s="517" t="s">
        <v>435</v>
      </c>
      <c r="E352" s="161" t="s">
        <v>814</v>
      </c>
      <c r="F352" s="402" t="s">
        <v>5</v>
      </c>
      <c r="G352" s="403">
        <f>284+11</f>
        <v>295</v>
      </c>
      <c r="H352" s="404">
        <f>Ühikhinnad!$C$11</f>
        <v>350</v>
      </c>
      <c r="I352" s="405">
        <f>G352*H352</f>
        <v>103250</v>
      </c>
      <c r="J352" s="612">
        <f>yld*I352</f>
        <v>118737.49999999999</v>
      </c>
      <c r="K352" s="608"/>
      <c r="L352" s="608"/>
      <c r="M352" s="608"/>
      <c r="N352" s="418" t="s">
        <v>802</v>
      </c>
      <c r="O352" s="375"/>
    </row>
    <row r="353" spans="1:49" s="390" customFormat="1" x14ac:dyDescent="0.35">
      <c r="A353" s="517"/>
      <c r="B353" s="517"/>
      <c r="C353" s="517"/>
      <c r="D353" s="517"/>
      <c r="E353" s="410" t="s">
        <v>588</v>
      </c>
      <c r="F353" s="411"/>
      <c r="G353" s="411"/>
      <c r="H353" s="412"/>
      <c r="I353" s="413"/>
      <c r="J353" s="413">
        <f>SUM(J354:J365)</f>
        <v>4413412.5</v>
      </c>
      <c r="K353" s="625"/>
      <c r="L353" s="625"/>
      <c r="M353" s="625"/>
      <c r="N353" s="414"/>
      <c r="Y353" s="414"/>
      <c r="Z353" s="414"/>
      <c r="AA353" s="414"/>
      <c r="AL353" s="414"/>
      <c r="AM353" s="414"/>
      <c r="AN353" s="414"/>
      <c r="AO353" s="375"/>
      <c r="AP353" s="375"/>
      <c r="AQ353" s="375"/>
      <c r="AR353" s="375"/>
      <c r="AS353" s="375"/>
      <c r="AT353" s="375"/>
      <c r="AU353" s="375"/>
      <c r="AV353" s="375"/>
      <c r="AW353" s="375"/>
    </row>
    <row r="354" spans="1:49" x14ac:dyDescent="0.35">
      <c r="A354" s="517" t="s">
        <v>737</v>
      </c>
      <c r="B354" s="517" t="s">
        <v>17</v>
      </c>
      <c r="C354" s="517"/>
      <c r="D354" s="517" t="s">
        <v>435</v>
      </c>
      <c r="E354" s="161" t="s">
        <v>811</v>
      </c>
      <c r="F354" s="402" t="s">
        <v>9</v>
      </c>
      <c r="G354" s="403">
        <f>13675-1575</f>
        <v>12100</v>
      </c>
      <c r="H354" s="404">
        <f>Ühikhinnad!$C$4</f>
        <v>160</v>
      </c>
      <c r="I354" s="405">
        <f t="shared" ref="I354:I365" si="800">G354*H354</f>
        <v>1936000</v>
      </c>
      <c r="J354" s="612">
        <f t="shared" ref="J354:J365" si="801">yld*I354</f>
        <v>2226400</v>
      </c>
      <c r="K354" s="608"/>
      <c r="L354" s="608"/>
      <c r="M354" s="608"/>
      <c r="N354" s="441"/>
      <c r="O354" s="375"/>
      <c r="Y354" s="418"/>
      <c r="Z354" s="418"/>
      <c r="AA354" s="418"/>
    </row>
    <row r="355" spans="1:49" x14ac:dyDescent="0.35">
      <c r="A355" s="517" t="s">
        <v>737</v>
      </c>
      <c r="B355" s="517" t="s">
        <v>17</v>
      </c>
      <c r="C355" s="517"/>
      <c r="D355" s="517" t="s">
        <v>435</v>
      </c>
      <c r="E355" s="161" t="s">
        <v>815</v>
      </c>
      <c r="F355" s="402" t="s">
        <v>9</v>
      </c>
      <c r="G355" s="403">
        <v>2340</v>
      </c>
      <c r="H355" s="404">
        <f>Ühikhinnad!$C$5</f>
        <v>130</v>
      </c>
      <c r="I355" s="405">
        <f t="shared" si="800"/>
        <v>304200</v>
      </c>
      <c r="J355" s="612">
        <f t="shared" si="801"/>
        <v>349830</v>
      </c>
      <c r="K355" s="608"/>
      <c r="L355" s="608"/>
      <c r="M355" s="608"/>
      <c r="N355" s="418"/>
      <c r="O355" s="375"/>
      <c r="Y355" s="418"/>
      <c r="Z355" s="418"/>
      <c r="AA355" s="418"/>
    </row>
    <row r="356" spans="1:49" x14ac:dyDescent="0.35">
      <c r="A356" s="517" t="s">
        <v>737</v>
      </c>
      <c r="B356" s="517" t="s">
        <v>17</v>
      </c>
      <c r="C356" s="517"/>
      <c r="D356" s="517" t="s">
        <v>435</v>
      </c>
      <c r="E356" s="161" t="s">
        <v>816</v>
      </c>
      <c r="F356" s="402" t="s">
        <v>585</v>
      </c>
      <c r="G356" s="403">
        <v>5</v>
      </c>
      <c r="H356" s="434">
        <f>Ühikhinnad!$C$7</f>
        <v>25000</v>
      </c>
      <c r="I356" s="405">
        <f t="shared" si="800"/>
        <v>125000</v>
      </c>
      <c r="J356" s="612">
        <f t="shared" si="801"/>
        <v>143750</v>
      </c>
      <c r="K356" s="608"/>
      <c r="L356" s="608"/>
      <c r="M356" s="608"/>
      <c r="O356" s="375"/>
      <c r="P356" s="516"/>
      <c r="Q356" s="516"/>
      <c r="R356" s="516"/>
      <c r="S356" s="516"/>
      <c r="T356" s="516"/>
      <c r="U356" s="516"/>
      <c r="V356" s="516"/>
      <c r="W356" s="516"/>
      <c r="X356" s="516"/>
      <c r="Y356" s="516"/>
      <c r="Z356" s="516"/>
      <c r="AA356" s="516"/>
      <c r="AC356" s="637"/>
      <c r="AD356" s="637"/>
      <c r="AE356" s="637"/>
      <c r="AF356" s="637"/>
      <c r="AG356" s="637"/>
      <c r="AH356" s="637"/>
      <c r="AI356" s="637"/>
      <c r="AJ356" s="637"/>
      <c r="AK356" s="637"/>
      <c r="AL356" s="637"/>
      <c r="AM356" s="637"/>
      <c r="AN356" s="637"/>
    </row>
    <row r="357" spans="1:49" x14ac:dyDescent="0.35">
      <c r="A357" s="517" t="s">
        <v>737</v>
      </c>
      <c r="B357" s="517" t="s">
        <v>17</v>
      </c>
      <c r="C357" s="517"/>
      <c r="D357" s="517" t="s">
        <v>435</v>
      </c>
      <c r="E357" s="161" t="s">
        <v>817</v>
      </c>
      <c r="F357" s="402" t="s">
        <v>585</v>
      </c>
      <c r="G357" s="403">
        <v>5</v>
      </c>
      <c r="H357" s="434">
        <f>Ühikhinnad!$C$8</f>
        <v>35000</v>
      </c>
      <c r="I357" s="405">
        <f t="shared" si="800"/>
        <v>175000</v>
      </c>
      <c r="J357" s="612">
        <f t="shared" si="801"/>
        <v>201249.99999999997</v>
      </c>
      <c r="K357" s="608"/>
      <c r="L357" s="608"/>
      <c r="M357" s="608"/>
      <c r="O357" s="375"/>
      <c r="P357" s="516"/>
      <c r="Q357" s="516"/>
      <c r="R357" s="516"/>
      <c r="S357" s="516"/>
      <c r="T357" s="516"/>
      <c r="U357" s="516"/>
      <c r="V357" s="516"/>
      <c r="W357" s="516"/>
      <c r="X357" s="516"/>
      <c r="Y357" s="516"/>
      <c r="Z357" s="516"/>
      <c r="AA357" s="516"/>
      <c r="AC357" s="637"/>
      <c r="AD357" s="637"/>
      <c r="AE357" s="637"/>
      <c r="AF357" s="637"/>
      <c r="AG357" s="637"/>
      <c r="AH357" s="637"/>
      <c r="AI357" s="637"/>
      <c r="AJ357" s="637"/>
      <c r="AK357" s="637"/>
      <c r="AL357" s="637"/>
      <c r="AM357" s="637"/>
      <c r="AN357" s="637"/>
    </row>
    <row r="358" spans="1:49" x14ac:dyDescent="0.35">
      <c r="A358" s="517" t="s">
        <v>737</v>
      </c>
      <c r="B358" s="517" t="s">
        <v>17</v>
      </c>
      <c r="C358" s="517"/>
      <c r="D358" s="517" t="s">
        <v>435</v>
      </c>
      <c r="E358" s="161" t="s">
        <v>818</v>
      </c>
      <c r="F358" s="402" t="s">
        <v>585</v>
      </c>
      <c r="G358" s="403">
        <v>1</v>
      </c>
      <c r="H358" s="434">
        <f>Ühikhinnad!$C$9</f>
        <v>75000</v>
      </c>
      <c r="I358" s="405">
        <f t="shared" si="800"/>
        <v>75000</v>
      </c>
      <c r="J358" s="612">
        <f t="shared" si="801"/>
        <v>86250</v>
      </c>
      <c r="K358" s="608"/>
      <c r="L358" s="608"/>
      <c r="M358" s="608"/>
      <c r="O358" s="375"/>
      <c r="P358" s="516"/>
      <c r="Q358" s="516"/>
      <c r="R358" s="516"/>
      <c r="S358" s="516"/>
      <c r="T358" s="516"/>
      <c r="U358" s="516"/>
      <c r="V358" s="516"/>
      <c r="W358" s="516"/>
      <c r="X358" s="516"/>
      <c r="Y358" s="516"/>
      <c r="Z358" s="516"/>
      <c r="AA358" s="516"/>
      <c r="AC358" s="637"/>
      <c r="AD358" s="637"/>
      <c r="AE358" s="637"/>
      <c r="AF358" s="637"/>
      <c r="AG358" s="637"/>
      <c r="AH358" s="637"/>
      <c r="AI358" s="637"/>
      <c r="AJ358" s="637"/>
      <c r="AK358" s="637"/>
      <c r="AL358" s="637"/>
      <c r="AM358" s="637"/>
      <c r="AN358" s="637"/>
    </row>
    <row r="359" spans="1:49" x14ac:dyDescent="0.35">
      <c r="A359" s="517" t="s">
        <v>737</v>
      </c>
      <c r="B359" s="517" t="s">
        <v>17</v>
      </c>
      <c r="C359" s="517"/>
      <c r="D359" s="517" t="s">
        <v>435</v>
      </c>
      <c r="E359" s="161" t="s">
        <v>814</v>
      </c>
      <c r="F359" s="402" t="s">
        <v>5</v>
      </c>
      <c r="G359" s="403">
        <f>284+11</f>
        <v>295</v>
      </c>
      <c r="H359" s="434">
        <f>Ühikhinnad!$C$12</f>
        <v>350</v>
      </c>
      <c r="I359" s="405">
        <f t="shared" si="800"/>
        <v>103250</v>
      </c>
      <c r="J359" s="612">
        <f t="shared" si="801"/>
        <v>118737.49999999999</v>
      </c>
      <c r="K359" s="608"/>
      <c r="L359" s="608"/>
      <c r="M359" s="608"/>
      <c r="N359" s="418" t="s">
        <v>802</v>
      </c>
      <c r="O359" s="375"/>
      <c r="Y359" s="418"/>
      <c r="Z359" s="418"/>
      <c r="AA359" s="418"/>
    </row>
    <row r="360" spans="1:49" x14ac:dyDescent="0.35">
      <c r="A360" s="517" t="s">
        <v>737</v>
      </c>
      <c r="B360" s="517" t="s">
        <v>17</v>
      </c>
      <c r="C360" s="517"/>
      <c r="D360" s="517" t="s">
        <v>435</v>
      </c>
      <c r="E360" s="526" t="s">
        <v>819</v>
      </c>
      <c r="F360" s="402" t="s">
        <v>9</v>
      </c>
      <c r="G360" s="403">
        <v>1575</v>
      </c>
      <c r="H360" s="404">
        <f>Ühikhinnad!$C$4</f>
        <v>160</v>
      </c>
      <c r="I360" s="405">
        <f t="shared" si="800"/>
        <v>252000</v>
      </c>
      <c r="J360" s="612">
        <f t="shared" si="801"/>
        <v>289800</v>
      </c>
      <c r="K360" s="608"/>
      <c r="L360" s="608"/>
      <c r="M360" s="608"/>
      <c r="N360" s="519" t="s">
        <v>823</v>
      </c>
      <c r="O360" s="375"/>
      <c r="Y360" s="418"/>
      <c r="Z360" s="418"/>
      <c r="AA360" s="418"/>
    </row>
    <row r="361" spans="1:49" x14ac:dyDescent="0.35">
      <c r="A361" s="517" t="s">
        <v>737</v>
      </c>
      <c r="B361" s="517" t="s">
        <v>17</v>
      </c>
      <c r="C361" s="517"/>
      <c r="D361" s="517" t="s">
        <v>435</v>
      </c>
      <c r="E361" s="526" t="s">
        <v>820</v>
      </c>
      <c r="F361" s="402" t="s">
        <v>9</v>
      </c>
      <c r="G361" s="403">
        <v>910</v>
      </c>
      <c r="H361" s="404">
        <f>Ühikhinnad!$C$5</f>
        <v>130</v>
      </c>
      <c r="I361" s="405">
        <f t="shared" si="800"/>
        <v>118300</v>
      </c>
      <c r="J361" s="612">
        <f t="shared" si="801"/>
        <v>136045</v>
      </c>
      <c r="K361" s="608"/>
      <c r="L361" s="608"/>
      <c r="M361" s="608"/>
      <c r="N361" s="519" t="s">
        <v>823</v>
      </c>
      <c r="O361" s="375"/>
      <c r="Y361" s="418"/>
      <c r="Z361" s="418"/>
      <c r="AA361" s="418"/>
    </row>
    <row r="362" spans="1:49" x14ac:dyDescent="0.35">
      <c r="A362" s="517" t="s">
        <v>737</v>
      </c>
      <c r="B362" s="517" t="s">
        <v>17</v>
      </c>
      <c r="C362" s="517"/>
      <c r="D362" s="517" t="s">
        <v>435</v>
      </c>
      <c r="E362" s="526" t="s">
        <v>821</v>
      </c>
      <c r="F362" s="402" t="s">
        <v>585</v>
      </c>
      <c r="G362" s="403">
        <v>1</v>
      </c>
      <c r="H362" s="434">
        <f>Ühikhinnad!$C$8</f>
        <v>35000</v>
      </c>
      <c r="I362" s="405">
        <f t="shared" si="800"/>
        <v>35000</v>
      </c>
      <c r="J362" s="612">
        <f t="shared" si="801"/>
        <v>40250</v>
      </c>
      <c r="K362" s="608"/>
      <c r="L362" s="608"/>
      <c r="M362" s="608"/>
      <c r="N362" s="519" t="s">
        <v>823</v>
      </c>
      <c r="O362" s="375"/>
      <c r="Y362" s="418"/>
      <c r="Z362" s="418"/>
      <c r="AA362" s="418"/>
    </row>
    <row r="363" spans="1:49" x14ac:dyDescent="0.35">
      <c r="A363" s="517" t="s">
        <v>737</v>
      </c>
      <c r="B363" s="517" t="s">
        <v>17</v>
      </c>
      <c r="C363" s="517"/>
      <c r="D363" s="517" t="s">
        <v>435</v>
      </c>
      <c r="E363" s="526" t="s">
        <v>822</v>
      </c>
      <c r="F363" s="402" t="s">
        <v>585</v>
      </c>
      <c r="G363" s="403">
        <v>1</v>
      </c>
      <c r="H363" s="434">
        <f>Ühikhinnad!$C$9</f>
        <v>75000</v>
      </c>
      <c r="I363" s="405">
        <f t="shared" si="800"/>
        <v>75000</v>
      </c>
      <c r="J363" s="612">
        <f t="shared" si="801"/>
        <v>86250</v>
      </c>
      <c r="K363" s="608"/>
      <c r="L363" s="608"/>
      <c r="M363" s="608"/>
      <c r="N363" s="519" t="s">
        <v>823</v>
      </c>
      <c r="O363" s="375"/>
      <c r="Y363" s="418"/>
      <c r="Z363" s="418"/>
      <c r="AA363" s="418"/>
    </row>
    <row r="364" spans="1:49" x14ac:dyDescent="0.35">
      <c r="A364" s="517" t="s">
        <v>737</v>
      </c>
      <c r="B364" s="517" t="s">
        <v>17</v>
      </c>
      <c r="C364" s="517"/>
      <c r="D364" s="517" t="s">
        <v>435</v>
      </c>
      <c r="E364" s="161" t="s">
        <v>803</v>
      </c>
      <c r="F364" s="402" t="s">
        <v>9</v>
      </c>
      <c r="G364" s="403">
        <v>4800</v>
      </c>
      <c r="H364" s="404">
        <f>Ühikhinnad!$C$5</f>
        <v>130</v>
      </c>
      <c r="I364" s="405">
        <f t="shared" si="800"/>
        <v>624000</v>
      </c>
      <c r="J364" s="612">
        <f t="shared" si="801"/>
        <v>717600</v>
      </c>
      <c r="K364" s="608"/>
      <c r="L364" s="608"/>
      <c r="M364" s="608"/>
      <c r="O364" s="375" t="str">
        <f>"Lokuti DP: "&amp;E364</f>
        <v>Lokuti DP: Survetoru rajamine (ühendustoru Saku alevikuga Soo tn pumplani)</v>
      </c>
      <c r="Y364" s="418"/>
      <c r="Z364" s="418"/>
      <c r="AA364" s="418"/>
    </row>
    <row r="365" spans="1:49" x14ac:dyDescent="0.35">
      <c r="A365" s="517" t="s">
        <v>737</v>
      </c>
      <c r="B365" s="517" t="s">
        <v>17</v>
      </c>
      <c r="C365" s="517"/>
      <c r="D365" s="517" t="s">
        <v>435</v>
      </c>
      <c r="E365" s="161" t="s">
        <v>809</v>
      </c>
      <c r="F365" s="402" t="s">
        <v>585</v>
      </c>
      <c r="G365" s="403">
        <v>1</v>
      </c>
      <c r="H365" s="417">
        <v>15000</v>
      </c>
      <c r="I365" s="405">
        <f t="shared" si="800"/>
        <v>15000</v>
      </c>
      <c r="J365" s="612">
        <f t="shared" si="801"/>
        <v>17250</v>
      </c>
      <c r="K365" s="608"/>
      <c r="L365" s="608"/>
      <c r="M365" s="608"/>
      <c r="N365" s="519"/>
      <c r="O365" s="375" t="str">
        <f>"Lokuti DP: "&amp;E365</f>
        <v>Lokuti DP: Soo tn pumpla automaatika</v>
      </c>
      <c r="Y365" s="418"/>
      <c r="Z365" s="418"/>
      <c r="AA365" s="418"/>
    </row>
    <row r="366" spans="1:49" ht="15.5" collapsed="1" thickBot="1" x14ac:dyDescent="0.4">
      <c r="E366" s="384" t="s">
        <v>637</v>
      </c>
      <c r="F366" s="384"/>
      <c r="G366" s="503"/>
      <c r="H366" s="426"/>
      <c r="I366" s="384"/>
      <c r="J366" s="389">
        <f>J367+J381</f>
        <v>677953.75</v>
      </c>
      <c r="K366" s="620">
        <f t="shared" ref="K366:M366" si="802">K367+K381</f>
        <v>132077.5</v>
      </c>
      <c r="L366" s="620">
        <f t="shared" si="802"/>
        <v>515876.25000000006</v>
      </c>
      <c r="M366" s="620">
        <f t="shared" si="802"/>
        <v>29999.999999999996</v>
      </c>
      <c r="N366" s="375" t="str">
        <f>IF(J366=K366+L366+M366,"OK","viga")</f>
        <v>OK</v>
      </c>
      <c r="AC366" s="375"/>
      <c r="AD366" s="375"/>
      <c r="AE366" s="375"/>
      <c r="AF366" s="375"/>
      <c r="AG366" s="375"/>
      <c r="AH366" s="375"/>
      <c r="AI366" s="375"/>
      <c r="AJ366" s="375"/>
      <c r="AK366" s="375"/>
      <c r="AL366" s="375"/>
      <c r="AM366" s="375"/>
      <c r="AN366" s="375"/>
    </row>
    <row r="367" spans="1:49" s="390" customFormat="1" ht="10.5" thickTop="1" x14ac:dyDescent="0.35">
      <c r="A367" s="370"/>
      <c r="B367" s="370"/>
      <c r="C367" s="370"/>
      <c r="D367" s="370"/>
      <c r="E367" s="391" t="s">
        <v>581</v>
      </c>
      <c r="F367" s="392"/>
      <c r="G367" s="392"/>
      <c r="H367" s="393"/>
      <c r="I367" s="394"/>
      <c r="J367" s="610">
        <f>J369+J372</f>
        <v>637703.75</v>
      </c>
      <c r="K367" s="617">
        <f t="shared" ref="K367:M367" si="803">K369+K372</f>
        <v>91827.5</v>
      </c>
      <c r="L367" s="617">
        <f t="shared" si="803"/>
        <v>515876.25000000006</v>
      </c>
      <c r="M367" s="617">
        <f t="shared" si="803"/>
        <v>29999.999999999996</v>
      </c>
      <c r="N367" s="375"/>
      <c r="P367" s="375"/>
      <c r="Q367" s="375"/>
      <c r="R367" s="375"/>
      <c r="S367" s="375"/>
      <c r="T367" s="375"/>
      <c r="U367" s="375"/>
      <c r="V367" s="375"/>
      <c r="W367" s="375"/>
      <c r="X367" s="375"/>
      <c r="Y367" s="375"/>
      <c r="Z367" s="375"/>
      <c r="AA367" s="375"/>
      <c r="AB367" s="375"/>
      <c r="AC367" s="375"/>
      <c r="AD367" s="375"/>
      <c r="AE367" s="375"/>
      <c r="AF367" s="375"/>
      <c r="AG367" s="375"/>
      <c r="AH367" s="375"/>
      <c r="AI367" s="375"/>
      <c r="AJ367" s="375"/>
      <c r="AK367" s="375"/>
      <c r="AL367" s="375"/>
      <c r="AM367" s="375"/>
      <c r="AN367" s="375"/>
      <c r="AO367" s="375"/>
      <c r="AP367" s="375"/>
      <c r="AQ367" s="375"/>
      <c r="AR367" s="375"/>
      <c r="AS367" s="375"/>
      <c r="AT367" s="375"/>
      <c r="AU367" s="375"/>
      <c r="AV367" s="375"/>
      <c r="AW367" s="375"/>
    </row>
    <row r="368" spans="1:49" x14ac:dyDescent="0.35">
      <c r="A368" s="376" t="s">
        <v>8</v>
      </c>
      <c r="B368" s="376" t="s">
        <v>14</v>
      </c>
      <c r="C368" s="376" t="s">
        <v>13</v>
      </c>
      <c r="D368" s="376" t="s">
        <v>6</v>
      </c>
      <c r="E368" s="377" t="s">
        <v>0</v>
      </c>
      <c r="F368" s="378" t="s">
        <v>1</v>
      </c>
      <c r="G368" s="379" t="s">
        <v>2</v>
      </c>
      <c r="H368" s="380" t="s">
        <v>3</v>
      </c>
      <c r="I368" s="380" t="s">
        <v>4</v>
      </c>
      <c r="J368" s="609" t="s">
        <v>52</v>
      </c>
      <c r="K368" s="623"/>
      <c r="L368" s="628"/>
      <c r="M368" s="626"/>
      <c r="N368" s="390"/>
      <c r="O368" s="395" t="s">
        <v>181</v>
      </c>
      <c r="P368" s="382">
        <v>2024</v>
      </c>
      <c r="Q368" s="382">
        <v>2025</v>
      </c>
      <c r="R368" s="382">
        <v>2026</v>
      </c>
      <c r="S368" s="382">
        <v>2027</v>
      </c>
      <c r="T368" s="383">
        <v>2028</v>
      </c>
      <c r="U368" s="383">
        <v>2029</v>
      </c>
      <c r="V368" s="383">
        <v>2030</v>
      </c>
      <c r="W368" s="383">
        <v>2031</v>
      </c>
      <c r="X368" s="383">
        <v>2032</v>
      </c>
      <c r="Y368" s="383">
        <v>2033</v>
      </c>
      <c r="Z368" s="383">
        <v>2034</v>
      </c>
      <c r="AA368" s="383">
        <v>2035</v>
      </c>
      <c r="AC368" s="382">
        <v>2024</v>
      </c>
      <c r="AD368" s="382">
        <v>2025</v>
      </c>
      <c r="AE368" s="382">
        <v>2026</v>
      </c>
      <c r="AF368" s="382">
        <v>2027</v>
      </c>
      <c r="AG368" s="383">
        <v>2028</v>
      </c>
      <c r="AH368" s="383">
        <v>2029</v>
      </c>
      <c r="AI368" s="383">
        <v>2030</v>
      </c>
      <c r="AJ368" s="383">
        <v>2031</v>
      </c>
      <c r="AK368" s="383">
        <v>2032</v>
      </c>
      <c r="AL368" s="383">
        <v>2033</v>
      </c>
      <c r="AM368" s="383">
        <v>2034</v>
      </c>
      <c r="AN368" s="383">
        <v>2035</v>
      </c>
    </row>
    <row r="369" spans="1:49" s="390" customFormat="1" x14ac:dyDescent="0.35">
      <c r="A369" s="370"/>
      <c r="B369" s="370"/>
      <c r="C369" s="370"/>
      <c r="D369" s="370"/>
      <c r="E369" s="396" t="s">
        <v>582</v>
      </c>
      <c r="F369" s="397"/>
      <c r="G369" s="397"/>
      <c r="H369" s="398"/>
      <c r="I369" s="399"/>
      <c r="J369" s="399">
        <f>SUM(J370:J371)</f>
        <v>91827.5</v>
      </c>
      <c r="K369" s="621">
        <f t="shared" ref="K369:M369" si="804">SUM(K370:K371)</f>
        <v>91827.5</v>
      </c>
      <c r="L369" s="621">
        <f t="shared" si="804"/>
        <v>0</v>
      </c>
      <c r="M369" s="621">
        <f t="shared" si="804"/>
        <v>0</v>
      </c>
      <c r="N369" s="375"/>
      <c r="O369" s="400"/>
      <c r="P369" s="400"/>
      <c r="Q369" s="400"/>
      <c r="R369" s="400"/>
      <c r="S369" s="400"/>
      <c r="T369" s="400"/>
      <c r="U369" s="400"/>
      <c r="V369" s="400"/>
      <c r="W369" s="400"/>
      <c r="X369" s="400"/>
      <c r="Y369" s="400"/>
      <c r="Z369" s="400"/>
      <c r="AA369" s="400"/>
      <c r="AB369" s="375"/>
      <c r="AC369" s="400"/>
      <c r="AD369" s="400"/>
      <c r="AE369" s="400"/>
      <c r="AF369" s="400"/>
      <c r="AG369" s="400"/>
      <c r="AH369" s="400"/>
      <c r="AI369" s="400"/>
      <c r="AJ369" s="400"/>
      <c r="AK369" s="400"/>
      <c r="AL369" s="400"/>
      <c r="AM369" s="400"/>
      <c r="AN369" s="400"/>
      <c r="AO369" s="375"/>
      <c r="AP369" s="375"/>
      <c r="AQ369" s="375"/>
      <c r="AR369" s="375"/>
      <c r="AS369" s="375"/>
      <c r="AT369" s="375"/>
      <c r="AU369" s="375"/>
      <c r="AV369" s="375"/>
      <c r="AW369" s="375"/>
    </row>
    <row r="370" spans="1:49" x14ac:dyDescent="0.35">
      <c r="A370" s="401" t="s">
        <v>583</v>
      </c>
      <c r="B370" s="401" t="s">
        <v>15</v>
      </c>
      <c r="C370" s="401" t="s">
        <v>596</v>
      </c>
      <c r="D370" s="401" t="s">
        <v>289</v>
      </c>
      <c r="E370" s="140" t="s">
        <v>807</v>
      </c>
      <c r="F370" s="402" t="s">
        <v>9</v>
      </c>
      <c r="G370" s="403">
        <v>950</v>
      </c>
      <c r="H370" s="404">
        <f>Ühikhinnad!$C$3</f>
        <v>80</v>
      </c>
      <c r="I370" s="405">
        <f>G370*H370</f>
        <v>76000</v>
      </c>
      <c r="J370" s="612">
        <f>yld*I370</f>
        <v>87400</v>
      </c>
      <c r="K370" s="608">
        <f t="shared" ref="K370:K371" si="805">J370-L370-M370</f>
        <v>87400</v>
      </c>
      <c r="L370" s="608">
        <v>0</v>
      </c>
      <c r="M370" s="608"/>
      <c r="N370" s="406"/>
      <c r="O370" s="407">
        <v>50</v>
      </c>
      <c r="P370" s="408"/>
      <c r="Q370" s="408">
        <f>$J370/2</f>
        <v>43700</v>
      </c>
      <c r="R370" s="408">
        <f>$J370/2</f>
        <v>43700</v>
      </c>
      <c r="S370" s="408"/>
      <c r="T370" s="408"/>
      <c r="U370" s="408"/>
      <c r="V370" s="408"/>
      <c r="W370" s="408"/>
      <c r="X370" s="408"/>
      <c r="Y370" s="408"/>
      <c r="Z370" s="408"/>
      <c r="AA370" s="408"/>
      <c r="AC370" s="632">
        <f t="shared" ref="AC370:AC371" si="806">IFERROR(P370*$K370/$J370,0)</f>
        <v>0</v>
      </c>
      <c r="AD370" s="632">
        <f t="shared" ref="AD370:AD371" si="807">IFERROR(Q370*$K370/$J370,0)</f>
        <v>43700</v>
      </c>
      <c r="AE370" s="632">
        <f t="shared" ref="AE370:AE371" si="808">IFERROR(R370*$K370/$J370,0)</f>
        <v>43700</v>
      </c>
      <c r="AF370" s="632">
        <f t="shared" ref="AF370:AF371" si="809">IFERROR(S370*$K370/$J370,0)</f>
        <v>0</v>
      </c>
      <c r="AG370" s="632">
        <f t="shared" ref="AG370:AG371" si="810">IFERROR(T370*$K370/$J370,0)</f>
        <v>0</v>
      </c>
      <c r="AH370" s="632">
        <f t="shared" ref="AH370:AH371" si="811">IFERROR(U370*$K370/$J370,0)</f>
        <v>0</v>
      </c>
      <c r="AI370" s="632">
        <f t="shared" ref="AI370:AI371" si="812">IFERROR(V370*$K370/$J370,0)</f>
        <v>0</v>
      </c>
      <c r="AJ370" s="632">
        <f t="shared" ref="AJ370:AJ371" si="813">IFERROR(W370*$K370/$J370,0)</f>
        <v>0</v>
      </c>
      <c r="AK370" s="632">
        <f t="shared" ref="AK370:AK371" si="814">IFERROR(X370*$K370/$J370,0)</f>
        <v>0</v>
      </c>
      <c r="AL370" s="632">
        <f t="shared" ref="AL370:AL371" si="815">IFERROR(Y370*$K370/$J370,0)</f>
        <v>0</v>
      </c>
      <c r="AM370" s="632">
        <f t="shared" ref="AM370:AM371" si="816">IFERROR(Z370*$K370/$J370,0)</f>
        <v>0</v>
      </c>
      <c r="AN370" s="632">
        <f t="shared" ref="AN370:AN371" si="817">IFERROR(AA370*$K370/$J370,0)</f>
        <v>0</v>
      </c>
    </row>
    <row r="371" spans="1:49" x14ac:dyDescent="0.35">
      <c r="A371" s="401" t="s">
        <v>583</v>
      </c>
      <c r="B371" s="401" t="s">
        <v>15</v>
      </c>
      <c r="C371" s="401" t="s">
        <v>596</v>
      </c>
      <c r="D371" s="401" t="s">
        <v>289</v>
      </c>
      <c r="E371" s="140" t="s">
        <v>610</v>
      </c>
      <c r="F371" s="402" t="s">
        <v>5</v>
      </c>
      <c r="G371" s="518">
        <v>11</v>
      </c>
      <c r="H371" s="404">
        <f>Ühikhinnad!$C$11</f>
        <v>350</v>
      </c>
      <c r="I371" s="405">
        <f>G371*H371</f>
        <v>3850</v>
      </c>
      <c r="J371" s="612">
        <f>yld*I371</f>
        <v>4427.5</v>
      </c>
      <c r="K371" s="608">
        <f t="shared" si="805"/>
        <v>4427.5</v>
      </c>
      <c r="L371" s="608">
        <v>0</v>
      </c>
      <c r="M371" s="608"/>
      <c r="N371" s="441"/>
      <c r="O371" s="407">
        <v>50</v>
      </c>
      <c r="P371" s="408"/>
      <c r="Q371" s="408">
        <f>$J371/2</f>
        <v>2213.75</v>
      </c>
      <c r="R371" s="408">
        <f>$J371/2</f>
        <v>2213.75</v>
      </c>
      <c r="S371" s="408"/>
      <c r="T371" s="408"/>
      <c r="U371" s="408"/>
      <c r="V371" s="408"/>
      <c r="W371" s="408"/>
      <c r="X371" s="408"/>
      <c r="Y371" s="408"/>
      <c r="Z371" s="408"/>
      <c r="AA371" s="408"/>
      <c r="AC371" s="632">
        <f t="shared" si="806"/>
        <v>0</v>
      </c>
      <c r="AD371" s="632">
        <f t="shared" si="807"/>
        <v>2213.75</v>
      </c>
      <c r="AE371" s="632">
        <f t="shared" si="808"/>
        <v>2213.75</v>
      </c>
      <c r="AF371" s="632">
        <f t="shared" si="809"/>
        <v>0</v>
      </c>
      <c r="AG371" s="632">
        <f t="shared" si="810"/>
        <v>0</v>
      </c>
      <c r="AH371" s="632">
        <f t="shared" si="811"/>
        <v>0</v>
      </c>
      <c r="AI371" s="632">
        <f t="shared" si="812"/>
        <v>0</v>
      </c>
      <c r="AJ371" s="632">
        <f t="shared" si="813"/>
        <v>0</v>
      </c>
      <c r="AK371" s="632">
        <f t="shared" si="814"/>
        <v>0</v>
      </c>
      <c r="AL371" s="632">
        <f t="shared" si="815"/>
        <v>0</v>
      </c>
      <c r="AM371" s="632">
        <f t="shared" si="816"/>
        <v>0</v>
      </c>
      <c r="AN371" s="632">
        <f t="shared" si="817"/>
        <v>0</v>
      </c>
    </row>
    <row r="372" spans="1:49" x14ac:dyDescent="0.35">
      <c r="E372" s="410" t="s">
        <v>588</v>
      </c>
      <c r="F372" s="428"/>
      <c r="G372" s="428"/>
      <c r="H372" s="429"/>
      <c r="I372" s="430"/>
      <c r="J372" s="413">
        <f>SUM(J373:J380)</f>
        <v>545876.25</v>
      </c>
      <c r="K372" s="622">
        <f t="shared" ref="K372:M372" si="818">SUM(K373:K380)</f>
        <v>4.5474735088646412E-13</v>
      </c>
      <c r="L372" s="622">
        <f t="shared" si="818"/>
        <v>515876.25000000006</v>
      </c>
      <c r="M372" s="622">
        <f t="shared" si="818"/>
        <v>29999.999999999996</v>
      </c>
      <c r="N372" s="436" t="s">
        <v>636</v>
      </c>
      <c r="O372" s="431"/>
      <c r="P372" s="431"/>
      <c r="Q372" s="431"/>
      <c r="R372" s="431"/>
      <c r="S372" s="431"/>
      <c r="T372" s="431"/>
      <c r="U372" s="431"/>
      <c r="V372" s="431"/>
      <c r="W372" s="431"/>
      <c r="X372" s="431"/>
      <c r="Y372" s="431"/>
      <c r="Z372" s="431"/>
      <c r="AA372" s="431"/>
      <c r="AC372" s="431"/>
      <c r="AD372" s="431"/>
      <c r="AE372" s="431"/>
      <c r="AF372" s="431"/>
      <c r="AG372" s="431"/>
      <c r="AH372" s="431"/>
      <c r="AI372" s="431"/>
      <c r="AJ372" s="431"/>
      <c r="AK372" s="431"/>
      <c r="AL372" s="431"/>
      <c r="AM372" s="431"/>
      <c r="AN372" s="431"/>
    </row>
    <row r="373" spans="1:49" s="390" customFormat="1" x14ac:dyDescent="0.35">
      <c r="A373" s="401" t="s">
        <v>583</v>
      </c>
      <c r="B373" s="401" t="s">
        <v>17</v>
      </c>
      <c r="C373" s="401" t="s">
        <v>799</v>
      </c>
      <c r="D373" s="401" t="s">
        <v>289</v>
      </c>
      <c r="E373" s="140" t="s">
        <v>837</v>
      </c>
      <c r="F373" s="432" t="s">
        <v>585</v>
      </c>
      <c r="G373" s="433">
        <v>1</v>
      </c>
      <c r="H373" s="417">
        <f>Ühikhinnad!$C$43</f>
        <v>253000</v>
      </c>
      <c r="I373" s="405">
        <f t="shared" ref="I373:I380" si="819">G373*H373</f>
        <v>253000</v>
      </c>
      <c r="J373" s="612">
        <f t="shared" ref="J373:J380" si="820">yld*I373</f>
        <v>290950</v>
      </c>
      <c r="K373" s="608">
        <f t="shared" ref="K373:K380" si="821">J373-L373-M373</f>
        <v>0</v>
      </c>
      <c r="L373" s="608">
        <f>J373-M373</f>
        <v>274960.11218201928</v>
      </c>
      <c r="M373" s="608">
        <f>J373*30000/J$372</f>
        <v>15989.887817980723</v>
      </c>
      <c r="N373" s="487"/>
      <c r="O373" s="407">
        <v>25</v>
      </c>
      <c r="P373" s="408"/>
      <c r="Q373" s="408">
        <f t="shared" ref="Q373:R380" si="822">$J373/2</f>
        <v>145475</v>
      </c>
      <c r="R373" s="408">
        <f t="shared" si="822"/>
        <v>145475</v>
      </c>
      <c r="S373" s="408"/>
      <c r="T373" s="408"/>
      <c r="U373" s="408"/>
      <c r="V373" s="408"/>
      <c r="W373" s="408"/>
      <c r="X373" s="408"/>
      <c r="Y373" s="408"/>
      <c r="Z373" s="408"/>
      <c r="AA373" s="408"/>
      <c r="AB373" s="375"/>
      <c r="AC373" s="632">
        <f t="shared" ref="AC373:AC380" si="823">IFERROR(P373*$K373/$J373,0)</f>
        <v>0</v>
      </c>
      <c r="AD373" s="632">
        <f t="shared" ref="AD373:AD380" si="824">IFERROR(Q373*$K373/$J373,0)</f>
        <v>0</v>
      </c>
      <c r="AE373" s="632">
        <f t="shared" ref="AE373:AE380" si="825">IFERROR(R373*$K373/$J373,0)</f>
        <v>0</v>
      </c>
      <c r="AF373" s="632">
        <f t="shared" ref="AF373:AF380" si="826">IFERROR(S373*$K373/$J373,0)</f>
        <v>0</v>
      </c>
      <c r="AG373" s="632">
        <f t="shared" ref="AG373:AG380" si="827">IFERROR(T373*$K373/$J373,0)</f>
        <v>0</v>
      </c>
      <c r="AH373" s="632">
        <f t="shared" ref="AH373:AH380" si="828">IFERROR(U373*$K373/$J373,0)</f>
        <v>0</v>
      </c>
      <c r="AI373" s="632">
        <f t="shared" ref="AI373:AI380" si="829">IFERROR(V373*$K373/$J373,0)</f>
        <v>0</v>
      </c>
      <c r="AJ373" s="632">
        <f t="shared" ref="AJ373:AJ380" si="830">IFERROR(W373*$K373/$J373,0)</f>
        <v>0</v>
      </c>
      <c r="AK373" s="632">
        <f t="shared" ref="AK373:AK380" si="831">IFERROR(X373*$K373/$J373,0)</f>
        <v>0</v>
      </c>
      <c r="AL373" s="632">
        <f t="shared" ref="AL373:AL380" si="832">IFERROR(Y373*$K373/$J373,0)</f>
        <v>0</v>
      </c>
      <c r="AM373" s="632">
        <f t="shared" ref="AM373:AM380" si="833">IFERROR(Z373*$K373/$J373,0)</f>
        <v>0</v>
      </c>
      <c r="AN373" s="632">
        <f t="shared" ref="AN373:AN380" si="834">IFERROR(AA373*$K373/$J373,0)</f>
        <v>0</v>
      </c>
      <c r="AO373" s="375"/>
      <c r="AP373" s="375"/>
      <c r="AQ373" s="375"/>
      <c r="AR373" s="375"/>
      <c r="AS373" s="375"/>
      <c r="AT373" s="375"/>
      <c r="AU373" s="375"/>
      <c r="AV373" s="375"/>
      <c r="AW373" s="375"/>
    </row>
    <row r="374" spans="1:49" s="390" customFormat="1" x14ac:dyDescent="0.35">
      <c r="A374" s="401" t="s">
        <v>583</v>
      </c>
      <c r="B374" s="401" t="s">
        <v>17</v>
      </c>
      <c r="C374" s="401" t="s">
        <v>799</v>
      </c>
      <c r="D374" s="401" t="s">
        <v>289</v>
      </c>
      <c r="E374" s="140" t="s">
        <v>798</v>
      </c>
      <c r="F374" s="432" t="s">
        <v>11</v>
      </c>
      <c r="G374" s="433">
        <f>215+400</f>
        <v>615</v>
      </c>
      <c r="H374" s="417">
        <v>15</v>
      </c>
      <c r="I374" s="405">
        <f t="shared" si="819"/>
        <v>9225</v>
      </c>
      <c r="J374" s="612">
        <f t="shared" si="820"/>
        <v>10608.75</v>
      </c>
      <c r="K374" s="608">
        <f t="shared" si="821"/>
        <v>0</v>
      </c>
      <c r="L374" s="608">
        <f>J374-M374</f>
        <v>10025.719505451098</v>
      </c>
      <c r="M374" s="608">
        <f t="shared" ref="M374:M380" si="835">J374*30000/J$372</f>
        <v>583.03049454890186</v>
      </c>
      <c r="N374" s="487"/>
      <c r="O374" s="407">
        <v>15</v>
      </c>
      <c r="P374" s="408"/>
      <c r="Q374" s="408">
        <f t="shared" si="822"/>
        <v>5304.375</v>
      </c>
      <c r="R374" s="408">
        <f t="shared" si="822"/>
        <v>5304.375</v>
      </c>
      <c r="S374" s="408"/>
      <c r="T374" s="408"/>
      <c r="U374" s="408"/>
      <c r="V374" s="408"/>
      <c r="W374" s="408"/>
      <c r="X374" s="408"/>
      <c r="Y374" s="408"/>
      <c r="Z374" s="408"/>
      <c r="AA374" s="408"/>
      <c r="AB374" s="375"/>
      <c r="AC374" s="632">
        <f t="shared" si="823"/>
        <v>0</v>
      </c>
      <c r="AD374" s="632">
        <f t="shared" si="824"/>
        <v>0</v>
      </c>
      <c r="AE374" s="632">
        <f t="shared" si="825"/>
        <v>0</v>
      </c>
      <c r="AF374" s="632">
        <f t="shared" si="826"/>
        <v>0</v>
      </c>
      <c r="AG374" s="632">
        <f t="shared" si="827"/>
        <v>0</v>
      </c>
      <c r="AH374" s="632">
        <f t="shared" si="828"/>
        <v>0</v>
      </c>
      <c r="AI374" s="632">
        <f t="shared" si="829"/>
        <v>0</v>
      </c>
      <c r="AJ374" s="632">
        <f t="shared" si="830"/>
        <v>0</v>
      </c>
      <c r="AK374" s="632">
        <f t="shared" si="831"/>
        <v>0</v>
      </c>
      <c r="AL374" s="632">
        <f t="shared" si="832"/>
        <v>0</v>
      </c>
      <c r="AM374" s="632">
        <f t="shared" si="833"/>
        <v>0</v>
      </c>
      <c r="AN374" s="632">
        <f t="shared" si="834"/>
        <v>0</v>
      </c>
      <c r="AO374" s="375"/>
      <c r="AP374" s="375"/>
      <c r="AQ374" s="375"/>
      <c r="AR374" s="375"/>
      <c r="AS374" s="375"/>
      <c r="AT374" s="375"/>
      <c r="AU374" s="375"/>
      <c r="AV374" s="375"/>
      <c r="AW374" s="375"/>
    </row>
    <row r="375" spans="1:49" s="390" customFormat="1" x14ac:dyDescent="0.35">
      <c r="A375" s="401" t="s">
        <v>583</v>
      </c>
      <c r="B375" s="401" t="s">
        <v>17</v>
      </c>
      <c r="C375" s="401" t="s">
        <v>799</v>
      </c>
      <c r="D375" s="401" t="s">
        <v>289</v>
      </c>
      <c r="E375" s="140" t="s">
        <v>1072</v>
      </c>
      <c r="F375" s="432" t="s">
        <v>1073</v>
      </c>
      <c r="G375" s="433">
        <v>50</v>
      </c>
      <c r="H375" s="404">
        <v>100</v>
      </c>
      <c r="I375" s="405">
        <f t="shared" ref="I375" si="836">G375*H375</f>
        <v>5000</v>
      </c>
      <c r="J375" s="612">
        <f t="shared" ref="J375" si="837">yld*I375</f>
        <v>5750</v>
      </c>
      <c r="K375" s="608">
        <f t="shared" ref="K375" si="838">J375-L375-M375</f>
        <v>0</v>
      </c>
      <c r="L375" s="608">
        <f>J375-M375</f>
        <v>5433.9943118976144</v>
      </c>
      <c r="M375" s="608">
        <f t="shared" ref="M375" si="839">J375*30000/J$372</f>
        <v>316.00568810238582</v>
      </c>
      <c r="N375" s="487"/>
      <c r="O375" s="407">
        <v>15</v>
      </c>
      <c r="P375" s="408"/>
      <c r="Q375" s="408">
        <f t="shared" si="822"/>
        <v>2875</v>
      </c>
      <c r="R375" s="408">
        <f t="shared" si="822"/>
        <v>2875</v>
      </c>
      <c r="S375" s="408"/>
      <c r="T375" s="408"/>
      <c r="U375" s="408"/>
      <c r="V375" s="408"/>
      <c r="W375" s="408"/>
      <c r="X375" s="408"/>
      <c r="Y375" s="408"/>
      <c r="Z375" s="408"/>
      <c r="AA375" s="408"/>
      <c r="AB375" s="375"/>
      <c r="AC375" s="632">
        <f t="shared" ref="AC375" si="840">IFERROR(P375*$K375/$J375,0)</f>
        <v>0</v>
      </c>
      <c r="AD375" s="632">
        <f t="shared" ref="AD375" si="841">IFERROR(Q375*$K375/$J375,0)</f>
        <v>0</v>
      </c>
      <c r="AE375" s="632">
        <f t="shared" ref="AE375" si="842">IFERROR(R375*$K375/$J375,0)</f>
        <v>0</v>
      </c>
      <c r="AF375" s="632">
        <f t="shared" ref="AF375" si="843">IFERROR(S375*$K375/$J375,0)</f>
        <v>0</v>
      </c>
      <c r="AG375" s="632">
        <f t="shared" ref="AG375" si="844">IFERROR(T375*$K375/$J375,0)</f>
        <v>0</v>
      </c>
      <c r="AH375" s="632">
        <f t="shared" ref="AH375" si="845">IFERROR(U375*$K375/$J375,0)</f>
        <v>0</v>
      </c>
      <c r="AI375" s="632">
        <f t="shared" ref="AI375" si="846">IFERROR(V375*$K375/$J375,0)</f>
        <v>0</v>
      </c>
      <c r="AJ375" s="632">
        <f t="shared" ref="AJ375" si="847">IFERROR(W375*$K375/$J375,0)</f>
        <v>0</v>
      </c>
      <c r="AK375" s="632">
        <f t="shared" ref="AK375" si="848">IFERROR(X375*$K375/$J375,0)</f>
        <v>0</v>
      </c>
      <c r="AL375" s="632">
        <f t="shared" ref="AL375" si="849">IFERROR(Y375*$K375/$J375,0)</f>
        <v>0</v>
      </c>
      <c r="AM375" s="632">
        <f t="shared" ref="AM375" si="850">IFERROR(Z375*$K375/$J375,0)</f>
        <v>0</v>
      </c>
      <c r="AN375" s="632">
        <f t="shared" ref="AN375" si="851">IFERROR(AA375*$K375/$J375,0)</f>
        <v>0</v>
      </c>
      <c r="AO375" s="375"/>
      <c r="AP375" s="375"/>
      <c r="AQ375" s="375"/>
      <c r="AR375" s="375"/>
      <c r="AS375" s="375"/>
      <c r="AT375" s="375"/>
      <c r="AU375" s="375"/>
      <c r="AV375" s="375"/>
      <c r="AW375" s="375"/>
    </row>
    <row r="376" spans="1:49" s="390" customFormat="1" x14ac:dyDescent="0.35">
      <c r="A376" s="401" t="s">
        <v>583</v>
      </c>
      <c r="B376" s="401" t="s">
        <v>17</v>
      </c>
      <c r="C376" s="401" t="s">
        <v>614</v>
      </c>
      <c r="D376" s="401" t="s">
        <v>289</v>
      </c>
      <c r="E376" s="161" t="s">
        <v>615</v>
      </c>
      <c r="F376" s="432" t="s">
        <v>9</v>
      </c>
      <c r="G376" s="403">
        <v>735</v>
      </c>
      <c r="H376" s="404">
        <f>Ühikhinnad!$C$4</f>
        <v>160</v>
      </c>
      <c r="I376" s="405">
        <f t="shared" si="819"/>
        <v>117600</v>
      </c>
      <c r="J376" s="612">
        <f t="shared" si="820"/>
        <v>135240</v>
      </c>
      <c r="K376" s="608">
        <f t="shared" si="821"/>
        <v>0</v>
      </c>
      <c r="L376" s="608">
        <f t="shared" ref="L376:L380" si="852">J376-M376</f>
        <v>127807.54621583188</v>
      </c>
      <c r="M376" s="608">
        <f t="shared" si="835"/>
        <v>7432.4537841681149</v>
      </c>
      <c r="N376" s="441" t="s">
        <v>800</v>
      </c>
      <c r="O376" s="407">
        <v>50</v>
      </c>
      <c r="P376" s="408"/>
      <c r="Q376" s="408">
        <f t="shared" si="822"/>
        <v>67620</v>
      </c>
      <c r="R376" s="408">
        <f t="shared" si="822"/>
        <v>67620</v>
      </c>
      <c r="S376" s="408"/>
      <c r="T376" s="408"/>
      <c r="U376" s="408"/>
      <c r="V376" s="408"/>
      <c r="W376" s="408"/>
      <c r="X376" s="408"/>
      <c r="Y376" s="408"/>
      <c r="Z376" s="408"/>
      <c r="AA376" s="408"/>
      <c r="AB376" s="375"/>
      <c r="AC376" s="632">
        <f t="shared" si="823"/>
        <v>0</v>
      </c>
      <c r="AD376" s="632">
        <f t="shared" si="824"/>
        <v>0</v>
      </c>
      <c r="AE376" s="632">
        <f t="shared" si="825"/>
        <v>0</v>
      </c>
      <c r="AF376" s="632">
        <f t="shared" si="826"/>
        <v>0</v>
      </c>
      <c r="AG376" s="632">
        <f t="shared" si="827"/>
        <v>0</v>
      </c>
      <c r="AH376" s="632">
        <f t="shared" si="828"/>
        <v>0</v>
      </c>
      <c r="AI376" s="632">
        <f t="shared" si="829"/>
        <v>0</v>
      </c>
      <c r="AJ376" s="632">
        <f t="shared" si="830"/>
        <v>0</v>
      </c>
      <c r="AK376" s="632">
        <f t="shared" si="831"/>
        <v>0</v>
      </c>
      <c r="AL376" s="632">
        <f t="shared" si="832"/>
        <v>0</v>
      </c>
      <c r="AM376" s="632">
        <f t="shared" si="833"/>
        <v>0</v>
      </c>
      <c r="AN376" s="632">
        <f t="shared" si="834"/>
        <v>0</v>
      </c>
      <c r="AO376" s="375"/>
      <c r="AP376" s="375"/>
      <c r="AQ376" s="375"/>
      <c r="AR376" s="375"/>
      <c r="AS376" s="375"/>
      <c r="AT376" s="375"/>
      <c r="AU376" s="375"/>
      <c r="AV376" s="375"/>
      <c r="AW376" s="375"/>
    </row>
    <row r="377" spans="1:49" s="390" customFormat="1" x14ac:dyDescent="0.35">
      <c r="A377" s="401" t="s">
        <v>583</v>
      </c>
      <c r="B377" s="401" t="s">
        <v>17</v>
      </c>
      <c r="C377" s="401" t="s">
        <v>614</v>
      </c>
      <c r="D377" s="401" t="s">
        <v>289</v>
      </c>
      <c r="E377" s="161" t="s">
        <v>617</v>
      </c>
      <c r="F377" s="432" t="s">
        <v>9</v>
      </c>
      <c r="G377" s="433">
        <v>200</v>
      </c>
      <c r="H377" s="404">
        <f>Ühikhinnad!$C$5</f>
        <v>130</v>
      </c>
      <c r="I377" s="405">
        <f t="shared" si="819"/>
        <v>26000</v>
      </c>
      <c r="J377" s="612">
        <f t="shared" si="820"/>
        <v>29899.999999999996</v>
      </c>
      <c r="K377" s="608">
        <f t="shared" si="821"/>
        <v>0</v>
      </c>
      <c r="L377" s="608">
        <f t="shared" si="852"/>
        <v>28256.77042186759</v>
      </c>
      <c r="M377" s="608">
        <f t="shared" si="835"/>
        <v>1643.2295781324062</v>
      </c>
      <c r="N377" s="441"/>
      <c r="O377" s="407">
        <v>50</v>
      </c>
      <c r="P377" s="408"/>
      <c r="Q377" s="408">
        <f t="shared" si="822"/>
        <v>14949.999999999998</v>
      </c>
      <c r="R377" s="408">
        <f t="shared" si="822"/>
        <v>14949.999999999998</v>
      </c>
      <c r="S377" s="408"/>
      <c r="T377" s="408"/>
      <c r="U377" s="408"/>
      <c r="V377" s="408"/>
      <c r="W377" s="408"/>
      <c r="X377" s="408"/>
      <c r="Y377" s="408"/>
      <c r="Z377" s="408"/>
      <c r="AA377" s="408"/>
      <c r="AB377" s="375"/>
      <c r="AC377" s="632">
        <f t="shared" si="823"/>
        <v>0</v>
      </c>
      <c r="AD377" s="632">
        <f t="shared" si="824"/>
        <v>0</v>
      </c>
      <c r="AE377" s="632">
        <f t="shared" si="825"/>
        <v>0</v>
      </c>
      <c r="AF377" s="632">
        <f t="shared" si="826"/>
        <v>0</v>
      </c>
      <c r="AG377" s="632">
        <f t="shared" si="827"/>
        <v>0</v>
      </c>
      <c r="AH377" s="632">
        <f t="shared" si="828"/>
        <v>0</v>
      </c>
      <c r="AI377" s="632">
        <f t="shared" si="829"/>
        <v>0</v>
      </c>
      <c r="AJ377" s="632">
        <f t="shared" si="830"/>
        <v>0</v>
      </c>
      <c r="AK377" s="632">
        <f t="shared" si="831"/>
        <v>0</v>
      </c>
      <c r="AL377" s="632">
        <f t="shared" si="832"/>
        <v>0</v>
      </c>
      <c r="AM377" s="632">
        <f t="shared" si="833"/>
        <v>0</v>
      </c>
      <c r="AN377" s="632">
        <f t="shared" si="834"/>
        <v>0</v>
      </c>
      <c r="AO377" s="375"/>
      <c r="AP377" s="375"/>
      <c r="AQ377" s="375"/>
      <c r="AR377" s="375"/>
      <c r="AS377" s="375"/>
      <c r="AT377" s="375"/>
      <c r="AU377" s="375"/>
      <c r="AV377" s="375"/>
      <c r="AW377" s="375"/>
    </row>
    <row r="378" spans="1:49" s="390" customFormat="1" x14ac:dyDescent="0.35">
      <c r="A378" s="401" t="s">
        <v>583</v>
      </c>
      <c r="B378" s="401" t="s">
        <v>17</v>
      </c>
      <c r="C378" s="401" t="s">
        <v>753</v>
      </c>
      <c r="D378" s="401" t="s">
        <v>289</v>
      </c>
      <c r="E378" s="161" t="s">
        <v>1064</v>
      </c>
      <c r="F378" s="432" t="s">
        <v>585</v>
      </c>
      <c r="G378" s="433">
        <v>1</v>
      </c>
      <c r="H378" s="404">
        <f>Ühikhinnad!$C$7</f>
        <v>25000</v>
      </c>
      <c r="I378" s="405">
        <f t="shared" si="819"/>
        <v>25000</v>
      </c>
      <c r="J378" s="612">
        <f t="shared" si="820"/>
        <v>28749.999999999996</v>
      </c>
      <c r="K378" s="608">
        <f t="shared" si="821"/>
        <v>0</v>
      </c>
      <c r="L378" s="608">
        <f t="shared" si="852"/>
        <v>27169.971559488069</v>
      </c>
      <c r="M378" s="608">
        <f t="shared" si="835"/>
        <v>1580.0284405119289</v>
      </c>
      <c r="N378" s="487"/>
      <c r="O378" s="407">
        <v>25</v>
      </c>
      <c r="P378" s="408"/>
      <c r="Q378" s="408">
        <f t="shared" si="822"/>
        <v>14374.999999999998</v>
      </c>
      <c r="R378" s="408">
        <f t="shared" si="822"/>
        <v>14374.999999999998</v>
      </c>
      <c r="S378" s="408"/>
      <c r="T378" s="408"/>
      <c r="U378" s="408"/>
      <c r="V378" s="408"/>
      <c r="W378" s="408"/>
      <c r="X378" s="408"/>
      <c r="Y378" s="408"/>
      <c r="Z378" s="408"/>
      <c r="AA378" s="408"/>
      <c r="AB378" s="375"/>
      <c r="AC378" s="632">
        <f t="shared" si="823"/>
        <v>0</v>
      </c>
      <c r="AD378" s="632">
        <f t="shared" si="824"/>
        <v>0</v>
      </c>
      <c r="AE378" s="632">
        <f t="shared" si="825"/>
        <v>0</v>
      </c>
      <c r="AF378" s="632">
        <f t="shared" si="826"/>
        <v>0</v>
      </c>
      <c r="AG378" s="632">
        <f t="shared" si="827"/>
        <v>0</v>
      </c>
      <c r="AH378" s="632">
        <f t="shared" si="828"/>
        <v>0</v>
      </c>
      <c r="AI378" s="632">
        <f t="shared" si="829"/>
        <v>0</v>
      </c>
      <c r="AJ378" s="632">
        <f t="shared" si="830"/>
        <v>0</v>
      </c>
      <c r="AK378" s="632">
        <f t="shared" si="831"/>
        <v>0</v>
      </c>
      <c r="AL378" s="632">
        <f t="shared" si="832"/>
        <v>0</v>
      </c>
      <c r="AM378" s="632">
        <f t="shared" si="833"/>
        <v>0</v>
      </c>
      <c r="AN378" s="632">
        <f t="shared" si="834"/>
        <v>0</v>
      </c>
      <c r="AO378" s="375"/>
      <c r="AP378" s="375"/>
      <c r="AQ378" s="375"/>
      <c r="AR378" s="375"/>
      <c r="AS378" s="375"/>
      <c r="AT378" s="375"/>
      <c r="AU378" s="375"/>
      <c r="AV378" s="375"/>
      <c r="AW378" s="375"/>
    </row>
    <row r="379" spans="1:49" s="390" customFormat="1" x14ac:dyDescent="0.35">
      <c r="A379" s="401" t="s">
        <v>583</v>
      </c>
      <c r="B379" s="401" t="s">
        <v>17</v>
      </c>
      <c r="C379" s="401" t="s">
        <v>753</v>
      </c>
      <c r="D379" s="401" t="s">
        <v>289</v>
      </c>
      <c r="E379" s="161" t="s">
        <v>1065</v>
      </c>
      <c r="F379" s="432" t="s">
        <v>585</v>
      </c>
      <c r="G379" s="433">
        <v>1</v>
      </c>
      <c r="H379" s="404">
        <f>Ühikhinnad!$C$8</f>
        <v>35000</v>
      </c>
      <c r="I379" s="405">
        <f t="shared" ref="I379" si="853">G379*H379</f>
        <v>35000</v>
      </c>
      <c r="J379" s="612">
        <f t="shared" ref="J379" si="854">yld*I379</f>
        <v>40250</v>
      </c>
      <c r="K379" s="608">
        <f t="shared" ref="K379" si="855">J379-L379-M379</f>
        <v>0</v>
      </c>
      <c r="L379" s="608">
        <f t="shared" ref="L379" si="856">J379-M379</f>
        <v>38037.9601832833</v>
      </c>
      <c r="M379" s="608">
        <f t="shared" ref="M379" si="857">J379*30000/J$372</f>
        <v>2212.0398167167009</v>
      </c>
      <c r="N379" s="487"/>
      <c r="O379" s="407">
        <v>25</v>
      </c>
      <c r="P379" s="408"/>
      <c r="Q379" s="408">
        <f t="shared" si="822"/>
        <v>20125</v>
      </c>
      <c r="R379" s="408">
        <f t="shared" si="822"/>
        <v>20125</v>
      </c>
      <c r="S379" s="408"/>
      <c r="T379" s="408"/>
      <c r="U379" s="408"/>
      <c r="V379" s="408"/>
      <c r="W379" s="408"/>
      <c r="X379" s="408"/>
      <c r="Y379" s="408"/>
      <c r="Z379" s="408"/>
      <c r="AA379" s="408"/>
      <c r="AB379" s="375"/>
      <c r="AC379" s="632">
        <f t="shared" ref="AC379" si="858">IFERROR(P379*$K379/$J379,0)</f>
        <v>0</v>
      </c>
      <c r="AD379" s="632">
        <f t="shared" ref="AD379" si="859">IFERROR(Q379*$K379/$J379,0)</f>
        <v>0</v>
      </c>
      <c r="AE379" s="632">
        <f t="shared" ref="AE379" si="860">IFERROR(R379*$K379/$J379,0)</f>
        <v>0</v>
      </c>
      <c r="AF379" s="632">
        <f t="shared" ref="AF379" si="861">IFERROR(S379*$K379/$J379,0)</f>
        <v>0</v>
      </c>
      <c r="AG379" s="632">
        <f t="shared" ref="AG379" si="862">IFERROR(T379*$K379/$J379,0)</f>
        <v>0</v>
      </c>
      <c r="AH379" s="632">
        <f t="shared" ref="AH379" si="863">IFERROR(U379*$K379/$J379,0)</f>
        <v>0</v>
      </c>
      <c r="AI379" s="632">
        <f t="shared" ref="AI379" si="864">IFERROR(V379*$K379/$J379,0)</f>
        <v>0</v>
      </c>
      <c r="AJ379" s="632">
        <f t="shared" ref="AJ379" si="865">IFERROR(W379*$K379/$J379,0)</f>
        <v>0</v>
      </c>
      <c r="AK379" s="632">
        <f t="shared" ref="AK379" si="866">IFERROR(X379*$K379/$J379,0)</f>
        <v>0</v>
      </c>
      <c r="AL379" s="632">
        <f t="shared" ref="AL379" si="867">IFERROR(Y379*$K379/$J379,0)</f>
        <v>0</v>
      </c>
      <c r="AM379" s="632">
        <f t="shared" ref="AM379" si="868">IFERROR(Z379*$K379/$J379,0)</f>
        <v>0</v>
      </c>
      <c r="AN379" s="632">
        <f t="shared" ref="AN379" si="869">IFERROR(AA379*$K379/$J379,0)</f>
        <v>0</v>
      </c>
      <c r="AO379" s="375"/>
      <c r="AP379" s="375"/>
      <c r="AQ379" s="375"/>
      <c r="AR379" s="375"/>
      <c r="AS379" s="375"/>
      <c r="AT379" s="375"/>
      <c r="AU379" s="375"/>
      <c r="AV379" s="375"/>
      <c r="AW379" s="375"/>
    </row>
    <row r="380" spans="1:49" ht="10.75" customHeight="1" x14ac:dyDescent="0.35">
      <c r="A380" s="401" t="s">
        <v>583</v>
      </c>
      <c r="B380" s="401" t="s">
        <v>17</v>
      </c>
      <c r="C380" s="401" t="s">
        <v>614</v>
      </c>
      <c r="D380" s="401" t="s">
        <v>289</v>
      </c>
      <c r="E380" s="140" t="s">
        <v>618</v>
      </c>
      <c r="F380" s="432" t="s">
        <v>5</v>
      </c>
      <c r="G380" s="433">
        <v>11</v>
      </c>
      <c r="H380" s="434">
        <f>Ühikhinnad!$C$12</f>
        <v>350</v>
      </c>
      <c r="I380" s="405">
        <f t="shared" si="819"/>
        <v>3850</v>
      </c>
      <c r="J380" s="612">
        <f t="shared" si="820"/>
        <v>4427.5</v>
      </c>
      <c r="K380" s="608">
        <f t="shared" si="821"/>
        <v>4.5474735088646412E-13</v>
      </c>
      <c r="L380" s="608">
        <f t="shared" si="852"/>
        <v>4184.1756201611624</v>
      </c>
      <c r="M380" s="608">
        <f t="shared" si="835"/>
        <v>243.3243798388371</v>
      </c>
      <c r="O380" s="407">
        <v>50</v>
      </c>
      <c r="P380" s="408"/>
      <c r="Q380" s="408">
        <f t="shared" si="822"/>
        <v>2213.75</v>
      </c>
      <c r="R380" s="408">
        <f t="shared" si="822"/>
        <v>2213.75</v>
      </c>
      <c r="S380" s="408"/>
      <c r="T380" s="408"/>
      <c r="U380" s="408"/>
      <c r="V380" s="408"/>
      <c r="W380" s="408"/>
      <c r="X380" s="408"/>
      <c r="Y380" s="408"/>
      <c r="Z380" s="408"/>
      <c r="AA380" s="408"/>
      <c r="AC380" s="632">
        <f t="shared" si="823"/>
        <v>0</v>
      </c>
      <c r="AD380" s="632">
        <f t="shared" si="824"/>
        <v>2.2737367544323206E-13</v>
      </c>
      <c r="AE380" s="632">
        <f t="shared" si="825"/>
        <v>2.2737367544323206E-13</v>
      </c>
      <c r="AF380" s="632">
        <f t="shared" si="826"/>
        <v>0</v>
      </c>
      <c r="AG380" s="632">
        <f t="shared" si="827"/>
        <v>0</v>
      </c>
      <c r="AH380" s="632">
        <f t="shared" si="828"/>
        <v>0</v>
      </c>
      <c r="AI380" s="632">
        <f t="shared" si="829"/>
        <v>0</v>
      </c>
      <c r="AJ380" s="632">
        <f t="shared" si="830"/>
        <v>0</v>
      </c>
      <c r="AK380" s="632">
        <f t="shared" si="831"/>
        <v>0</v>
      </c>
      <c r="AL380" s="632">
        <f t="shared" si="832"/>
        <v>0</v>
      </c>
      <c r="AM380" s="632">
        <f t="shared" si="833"/>
        <v>0</v>
      </c>
      <c r="AN380" s="632">
        <f t="shared" si="834"/>
        <v>0</v>
      </c>
    </row>
    <row r="381" spans="1:49" ht="10" x14ac:dyDescent="0.35">
      <c r="E381" s="420" t="s">
        <v>594</v>
      </c>
      <c r="F381" s="421"/>
      <c r="G381" s="421"/>
      <c r="H381" s="422"/>
      <c r="I381" s="423"/>
      <c r="J381" s="614">
        <f>J383+J385</f>
        <v>40250</v>
      </c>
      <c r="K381" s="617">
        <f t="shared" ref="K381:M381" si="870">K383+K385</f>
        <v>40250</v>
      </c>
      <c r="L381" s="617">
        <f t="shared" si="870"/>
        <v>0</v>
      </c>
      <c r="M381" s="617">
        <f t="shared" si="870"/>
        <v>0</v>
      </c>
      <c r="O381" s="375"/>
      <c r="AC381" s="375"/>
      <c r="AD381" s="375"/>
      <c r="AE381" s="375"/>
      <c r="AF381" s="375"/>
      <c r="AG381" s="375"/>
      <c r="AH381" s="375"/>
      <c r="AI381" s="375"/>
      <c r="AJ381" s="375"/>
      <c r="AK381" s="375"/>
      <c r="AL381" s="375"/>
      <c r="AM381" s="375"/>
      <c r="AN381" s="375"/>
    </row>
    <row r="382" spans="1:49" s="390" customFormat="1" x14ac:dyDescent="0.35">
      <c r="A382" s="376" t="s">
        <v>8</v>
      </c>
      <c r="B382" s="376" t="s">
        <v>14</v>
      </c>
      <c r="C382" s="376" t="s">
        <v>13</v>
      </c>
      <c r="D382" s="376" t="s">
        <v>6</v>
      </c>
      <c r="E382" s="377" t="s">
        <v>0</v>
      </c>
      <c r="F382" s="378" t="s">
        <v>1</v>
      </c>
      <c r="G382" s="379" t="s">
        <v>2</v>
      </c>
      <c r="H382" s="380" t="s">
        <v>3</v>
      </c>
      <c r="I382" s="380" t="s">
        <v>4</v>
      </c>
      <c r="J382" s="609" t="s">
        <v>52</v>
      </c>
      <c r="K382" s="623"/>
      <c r="L382" s="623"/>
      <c r="M382" s="623"/>
      <c r="O382" s="395" t="s">
        <v>181</v>
      </c>
      <c r="P382" s="382">
        <v>2024</v>
      </c>
      <c r="Q382" s="382">
        <v>2025</v>
      </c>
      <c r="R382" s="382">
        <v>2026</v>
      </c>
      <c r="S382" s="382">
        <v>2027</v>
      </c>
      <c r="T382" s="383">
        <v>2028</v>
      </c>
      <c r="U382" s="383">
        <v>2029</v>
      </c>
      <c r="V382" s="383">
        <v>2030</v>
      </c>
      <c r="W382" s="383">
        <v>2031</v>
      </c>
      <c r="X382" s="383">
        <v>2032</v>
      </c>
      <c r="Y382" s="383">
        <v>2033</v>
      </c>
      <c r="Z382" s="383">
        <v>2034</v>
      </c>
      <c r="AA382" s="383">
        <v>2035</v>
      </c>
      <c r="AB382" s="375"/>
      <c r="AC382" s="382">
        <v>2024</v>
      </c>
      <c r="AD382" s="382">
        <v>2025</v>
      </c>
      <c r="AE382" s="382">
        <v>2026</v>
      </c>
      <c r="AF382" s="382">
        <v>2027</v>
      </c>
      <c r="AG382" s="383">
        <v>2028</v>
      </c>
      <c r="AH382" s="383">
        <v>2029</v>
      </c>
      <c r="AI382" s="383">
        <v>2030</v>
      </c>
      <c r="AJ382" s="383">
        <v>2031</v>
      </c>
      <c r="AK382" s="383">
        <v>2032</v>
      </c>
      <c r="AL382" s="383">
        <v>2033</v>
      </c>
      <c r="AM382" s="383">
        <v>2034</v>
      </c>
      <c r="AN382" s="383">
        <v>2035</v>
      </c>
      <c r="AO382" s="375"/>
      <c r="AP382" s="375"/>
      <c r="AQ382" s="375"/>
      <c r="AR382" s="375"/>
      <c r="AS382" s="375"/>
      <c r="AT382" s="375"/>
      <c r="AU382" s="375"/>
      <c r="AV382" s="375"/>
      <c r="AW382" s="375"/>
    </row>
    <row r="383" spans="1:49" x14ac:dyDescent="0.35">
      <c r="E383" s="396" t="s">
        <v>582</v>
      </c>
      <c r="F383" s="397"/>
      <c r="G383" s="397"/>
      <c r="H383" s="398"/>
      <c r="I383" s="399"/>
      <c r="J383" s="399">
        <f>SUM(J384:J384)</f>
        <v>40250</v>
      </c>
      <c r="K383" s="621">
        <f t="shared" ref="K383:M383" si="871">SUM(K384:K384)</f>
        <v>40250</v>
      </c>
      <c r="L383" s="621">
        <f t="shared" si="871"/>
        <v>0</v>
      </c>
      <c r="M383" s="621">
        <f t="shared" si="871"/>
        <v>0</v>
      </c>
      <c r="O383" s="400"/>
      <c r="P383" s="400"/>
      <c r="Q383" s="400"/>
      <c r="R383" s="400"/>
      <c r="S383" s="400"/>
      <c r="T383" s="400"/>
      <c r="U383" s="400"/>
      <c r="V383" s="400"/>
      <c r="W383" s="400"/>
      <c r="X383" s="400"/>
      <c r="Y383" s="400"/>
      <c r="Z383" s="400"/>
      <c r="AA383" s="400"/>
      <c r="AC383" s="400"/>
      <c r="AD383" s="400"/>
      <c r="AE383" s="400"/>
      <c r="AF383" s="400"/>
      <c r="AG383" s="400"/>
      <c r="AH383" s="400"/>
      <c r="AI383" s="400"/>
      <c r="AJ383" s="400"/>
      <c r="AK383" s="400"/>
      <c r="AL383" s="400"/>
      <c r="AM383" s="400"/>
      <c r="AN383" s="400"/>
    </row>
    <row r="384" spans="1:49" x14ac:dyDescent="0.35">
      <c r="A384" s="401" t="s">
        <v>595</v>
      </c>
      <c r="B384" s="401" t="s">
        <v>15</v>
      </c>
      <c r="C384" s="401" t="s">
        <v>748</v>
      </c>
      <c r="D384" s="401" t="s">
        <v>289</v>
      </c>
      <c r="E384" s="161" t="s">
        <v>796</v>
      </c>
      <c r="F384" s="402" t="s">
        <v>585</v>
      </c>
      <c r="G384" s="403">
        <v>1</v>
      </c>
      <c r="H384" s="417">
        <v>35000</v>
      </c>
      <c r="I384" s="405">
        <f>G384*H384</f>
        <v>35000</v>
      </c>
      <c r="J384" s="612">
        <f>yld*I384</f>
        <v>40250</v>
      </c>
      <c r="K384" s="608">
        <f>J384-L384-M384</f>
        <v>40250</v>
      </c>
      <c r="L384" s="608"/>
      <c r="M384" s="608"/>
      <c r="N384" s="406"/>
      <c r="O384" s="407">
        <v>15</v>
      </c>
      <c r="P384" s="408"/>
      <c r="Q384" s="408"/>
      <c r="R384" s="408"/>
      <c r="S384" s="408"/>
      <c r="T384" s="419">
        <f>$J384/8</f>
        <v>5031.25</v>
      </c>
      <c r="U384" s="419">
        <f t="shared" ref="U384:AA384" si="872">$J384/8</f>
        <v>5031.25</v>
      </c>
      <c r="V384" s="419">
        <f t="shared" si="872"/>
        <v>5031.25</v>
      </c>
      <c r="W384" s="419">
        <f t="shared" si="872"/>
        <v>5031.25</v>
      </c>
      <c r="X384" s="419">
        <f t="shared" si="872"/>
        <v>5031.25</v>
      </c>
      <c r="Y384" s="419">
        <f t="shared" si="872"/>
        <v>5031.25</v>
      </c>
      <c r="Z384" s="419">
        <f t="shared" si="872"/>
        <v>5031.25</v>
      </c>
      <c r="AA384" s="419">
        <f t="shared" si="872"/>
        <v>5031.25</v>
      </c>
      <c r="AC384" s="632">
        <f>IFERROR(P384*$K384/$J384,0)</f>
        <v>0</v>
      </c>
      <c r="AD384" s="632">
        <f t="shared" ref="AD384" si="873">IFERROR(Q384*$K384/$J384,0)</f>
        <v>0</v>
      </c>
      <c r="AE384" s="632">
        <f t="shared" ref="AE384" si="874">IFERROR(R384*$K384/$J384,0)</f>
        <v>0</v>
      </c>
      <c r="AF384" s="632">
        <f t="shared" ref="AF384" si="875">IFERROR(S384*$K384/$J384,0)</f>
        <v>0</v>
      </c>
      <c r="AG384" s="632">
        <f t="shared" ref="AG384" si="876">IFERROR(T384*$K384/$J384,0)</f>
        <v>5031.25</v>
      </c>
      <c r="AH384" s="632">
        <f t="shared" ref="AH384" si="877">IFERROR(U384*$K384/$J384,0)</f>
        <v>5031.25</v>
      </c>
      <c r="AI384" s="632">
        <f t="shared" ref="AI384" si="878">IFERROR(V384*$K384/$J384,0)</f>
        <v>5031.25</v>
      </c>
      <c r="AJ384" s="632">
        <f t="shared" ref="AJ384" si="879">IFERROR(W384*$K384/$J384,0)</f>
        <v>5031.25</v>
      </c>
      <c r="AK384" s="632">
        <f t="shared" ref="AK384" si="880">IFERROR(X384*$K384/$J384,0)</f>
        <v>5031.25</v>
      </c>
      <c r="AL384" s="632">
        <f t="shared" ref="AL384" si="881">IFERROR(Y384*$K384/$J384,0)</f>
        <v>5031.25</v>
      </c>
      <c r="AM384" s="632">
        <f t="shared" ref="AM384" si="882">IFERROR(Z384*$K384/$J384,0)</f>
        <v>5031.25</v>
      </c>
      <c r="AN384" s="632">
        <f t="shared" ref="AN384" si="883">IFERROR(AA384*$K384/$J384,0)</f>
        <v>5031.25</v>
      </c>
    </row>
    <row r="385" spans="1:49" outlineLevel="1" x14ac:dyDescent="0.35">
      <c r="E385" s="410" t="s">
        <v>588</v>
      </c>
      <c r="F385" s="428"/>
      <c r="G385" s="428"/>
      <c r="H385" s="429"/>
      <c r="I385" s="430"/>
      <c r="J385" s="413">
        <f>SUM(J386:J386)</f>
        <v>0</v>
      </c>
      <c r="K385" s="622">
        <f t="shared" ref="K385:M385" si="884">SUM(K386:K386)</f>
        <v>0</v>
      </c>
      <c r="L385" s="622">
        <f t="shared" si="884"/>
        <v>0</v>
      </c>
      <c r="M385" s="622">
        <f t="shared" si="884"/>
        <v>0</v>
      </c>
      <c r="O385" s="431"/>
      <c r="P385" s="431"/>
      <c r="Q385" s="431"/>
      <c r="R385" s="431"/>
      <c r="S385" s="431"/>
      <c r="T385" s="431"/>
      <c r="U385" s="431"/>
      <c r="V385" s="431"/>
      <c r="W385" s="431"/>
      <c r="X385" s="431"/>
      <c r="Y385" s="431"/>
      <c r="Z385" s="431"/>
      <c r="AA385" s="431"/>
      <c r="AC385" s="431"/>
      <c r="AD385" s="431"/>
      <c r="AE385" s="431"/>
      <c r="AF385" s="431"/>
      <c r="AG385" s="431"/>
      <c r="AH385" s="431"/>
      <c r="AI385" s="431"/>
      <c r="AJ385" s="431"/>
      <c r="AK385" s="431"/>
      <c r="AL385" s="431"/>
      <c r="AM385" s="431"/>
      <c r="AN385" s="431"/>
    </row>
    <row r="386" spans="1:49" outlineLevel="1" x14ac:dyDescent="0.35">
      <c r="A386" s="401"/>
      <c r="B386" s="401"/>
      <c r="C386" s="401"/>
      <c r="D386" s="401"/>
      <c r="E386" s="427"/>
      <c r="F386" s="432"/>
      <c r="G386" s="438"/>
      <c r="H386" s="434"/>
      <c r="I386" s="405">
        <f>G386*H386</f>
        <v>0</v>
      </c>
      <c r="J386" s="612">
        <f>yld*I386</f>
        <v>0</v>
      </c>
      <c r="K386" s="608"/>
      <c r="L386" s="608"/>
      <c r="M386" s="608"/>
      <c r="O386" s="407"/>
      <c r="P386" s="408"/>
      <c r="Q386" s="408"/>
      <c r="R386" s="408"/>
      <c r="S386" s="408"/>
      <c r="T386" s="408"/>
      <c r="U386" s="408"/>
      <c r="V386" s="408"/>
      <c r="W386" s="408"/>
      <c r="X386" s="408"/>
      <c r="Y386" s="408"/>
      <c r="Z386" s="408"/>
      <c r="AA386" s="408"/>
      <c r="AC386" s="632">
        <f>IFERROR(P386*$K386/$J386,0)</f>
        <v>0</v>
      </c>
      <c r="AD386" s="632">
        <f t="shared" ref="AD386" si="885">IFERROR(Q386*$K386/$J386,0)</f>
        <v>0</v>
      </c>
      <c r="AE386" s="632">
        <f t="shared" ref="AE386" si="886">IFERROR(R386*$K386/$J386,0)</f>
        <v>0</v>
      </c>
      <c r="AF386" s="632">
        <f t="shared" ref="AF386" si="887">IFERROR(S386*$K386/$J386,0)</f>
        <v>0</v>
      </c>
      <c r="AG386" s="632">
        <f t="shared" ref="AG386" si="888">IFERROR(T386*$K386/$J386,0)</f>
        <v>0</v>
      </c>
      <c r="AH386" s="632">
        <f t="shared" ref="AH386" si="889">IFERROR(U386*$K386/$J386,0)</f>
        <v>0</v>
      </c>
      <c r="AI386" s="632">
        <f t="shared" ref="AI386" si="890">IFERROR(V386*$K386/$J386,0)</f>
        <v>0</v>
      </c>
      <c r="AJ386" s="632">
        <f t="shared" ref="AJ386" si="891">IFERROR(W386*$K386/$J386,0)</f>
        <v>0</v>
      </c>
      <c r="AK386" s="632">
        <f t="shared" ref="AK386" si="892">IFERROR(X386*$K386/$J386,0)</f>
        <v>0</v>
      </c>
      <c r="AL386" s="632">
        <f t="shared" ref="AL386" si="893">IFERROR(Y386*$K386/$J386,0)</f>
        <v>0</v>
      </c>
      <c r="AM386" s="632">
        <f t="shared" ref="AM386" si="894">IFERROR(Z386*$K386/$J386,0)</f>
        <v>0</v>
      </c>
      <c r="AN386" s="632">
        <f t="shared" ref="AN386" si="895">IFERROR(AA386*$K386/$J386,0)</f>
        <v>0</v>
      </c>
    </row>
    <row r="387" spans="1:49" s="390" customFormat="1" ht="10" x14ac:dyDescent="0.35">
      <c r="A387" s="370"/>
      <c r="B387" s="370"/>
      <c r="C387" s="370"/>
      <c r="D387" s="370"/>
      <c r="E387" s="481" t="s">
        <v>659</v>
      </c>
      <c r="F387" s="482"/>
      <c r="G387" s="482"/>
      <c r="H387" s="483"/>
      <c r="I387" s="484"/>
      <c r="J387" s="611">
        <f>J389+J391</f>
        <v>224479.99999999997</v>
      </c>
      <c r="K387" s="607"/>
      <c r="L387" s="607"/>
      <c r="M387" s="607"/>
      <c r="N387" s="436" t="s">
        <v>626</v>
      </c>
      <c r="O387" s="375"/>
      <c r="P387" s="375"/>
      <c r="Q387" s="375"/>
      <c r="R387" s="375"/>
      <c r="S387" s="375"/>
      <c r="T387" s="375"/>
      <c r="U387" s="375"/>
      <c r="V387" s="375"/>
      <c r="W387" s="375"/>
      <c r="X387" s="375"/>
      <c r="Y387" s="375"/>
      <c r="Z387" s="375"/>
      <c r="AA387" s="375"/>
      <c r="AC387" s="375"/>
      <c r="AD387" s="375"/>
      <c r="AE387" s="375"/>
      <c r="AF387" s="375"/>
      <c r="AG387" s="375"/>
      <c r="AH387" s="375"/>
      <c r="AI387" s="375"/>
      <c r="AJ387" s="375"/>
      <c r="AK387" s="375"/>
      <c r="AL387" s="375"/>
      <c r="AM387" s="375"/>
      <c r="AN387" s="375"/>
      <c r="AO387" s="375"/>
      <c r="AP387" s="375"/>
      <c r="AQ387" s="375"/>
      <c r="AR387" s="375"/>
      <c r="AS387" s="375"/>
      <c r="AT387" s="375"/>
      <c r="AU387" s="375"/>
      <c r="AV387" s="375"/>
      <c r="AW387" s="375"/>
    </row>
    <row r="388" spans="1:49" x14ac:dyDescent="0.35">
      <c r="E388" s="377" t="s">
        <v>0</v>
      </c>
      <c r="F388" s="378" t="s">
        <v>1</v>
      </c>
      <c r="G388" s="379" t="s">
        <v>2</v>
      </c>
      <c r="H388" s="380" t="s">
        <v>3</v>
      </c>
      <c r="I388" s="380" t="s">
        <v>4</v>
      </c>
      <c r="J388" s="609" t="s">
        <v>52</v>
      </c>
      <c r="K388" s="606"/>
      <c r="L388" s="606"/>
      <c r="M388" s="606"/>
      <c r="N388" s="390"/>
      <c r="P388" s="390"/>
      <c r="Q388" s="390"/>
      <c r="R388" s="390"/>
      <c r="S388" s="390"/>
      <c r="T388" s="390"/>
      <c r="U388" s="390"/>
      <c r="V388" s="390"/>
      <c r="W388" s="390"/>
      <c r="X388" s="390"/>
      <c r="Y388" s="390"/>
      <c r="Z388" s="390"/>
      <c r="AA388" s="390"/>
      <c r="AC388" s="390"/>
      <c r="AD388" s="390"/>
      <c r="AE388" s="390"/>
      <c r="AF388" s="390"/>
      <c r="AG388" s="390"/>
      <c r="AH388" s="390"/>
      <c r="AI388" s="390"/>
      <c r="AJ388" s="390"/>
      <c r="AK388" s="390"/>
      <c r="AL388" s="390"/>
      <c r="AM388" s="390"/>
      <c r="AN388" s="390"/>
    </row>
    <row r="389" spans="1:49" outlineLevel="1" x14ac:dyDescent="0.35">
      <c r="E389" s="396" t="s">
        <v>582</v>
      </c>
      <c r="F389" s="397"/>
      <c r="G389" s="397"/>
      <c r="H389" s="398"/>
      <c r="I389" s="399"/>
      <c r="J389" s="399">
        <f>SUM(J390:J390)</f>
        <v>0</v>
      </c>
      <c r="K389" s="625"/>
      <c r="L389" s="625"/>
      <c r="M389" s="625"/>
      <c r="AC389" s="375"/>
      <c r="AD389" s="375"/>
      <c r="AE389" s="375"/>
      <c r="AF389" s="375"/>
      <c r="AG389" s="375"/>
      <c r="AH389" s="375"/>
      <c r="AI389" s="375"/>
      <c r="AJ389" s="375"/>
      <c r="AK389" s="375"/>
      <c r="AL389" s="375"/>
      <c r="AM389" s="375"/>
      <c r="AN389" s="375"/>
    </row>
    <row r="390" spans="1:49" outlineLevel="1" x14ac:dyDescent="0.35">
      <c r="A390" s="517" t="s">
        <v>737</v>
      </c>
      <c r="B390" s="517" t="s">
        <v>15</v>
      </c>
      <c r="C390" s="517"/>
      <c r="D390" s="517" t="s">
        <v>289</v>
      </c>
      <c r="E390" s="140"/>
      <c r="F390" s="402"/>
      <c r="G390" s="403"/>
      <c r="H390" s="417"/>
      <c r="I390" s="405">
        <f>G390*H390</f>
        <v>0</v>
      </c>
      <c r="J390" s="612">
        <f>yld*I390</f>
        <v>0</v>
      </c>
      <c r="K390" s="608"/>
      <c r="L390" s="608"/>
      <c r="M390" s="608"/>
    </row>
    <row r="391" spans="1:49" s="390" customFormat="1" x14ac:dyDescent="0.35">
      <c r="A391" s="517"/>
      <c r="B391" s="517"/>
      <c r="C391" s="517"/>
      <c r="D391" s="517"/>
      <c r="E391" s="410" t="s">
        <v>588</v>
      </c>
      <c r="F391" s="411"/>
      <c r="G391" s="411"/>
      <c r="H391" s="412"/>
      <c r="I391" s="413"/>
      <c r="J391" s="413">
        <f>SUM(J392:J392)</f>
        <v>224479.99999999997</v>
      </c>
      <c r="K391" s="625"/>
      <c r="L391" s="625"/>
      <c r="M391" s="625"/>
      <c r="N391" s="414"/>
      <c r="Y391" s="414"/>
      <c r="Z391" s="414"/>
      <c r="AA391" s="414"/>
      <c r="AL391" s="414"/>
      <c r="AM391" s="414"/>
      <c r="AN391" s="414"/>
      <c r="AO391" s="375"/>
      <c r="AP391" s="375"/>
      <c r="AQ391" s="375"/>
      <c r="AR391" s="375"/>
      <c r="AS391" s="375"/>
      <c r="AT391" s="375"/>
      <c r="AU391" s="375"/>
      <c r="AV391" s="375"/>
      <c r="AW391" s="375"/>
    </row>
    <row r="392" spans="1:49" x14ac:dyDescent="0.35">
      <c r="A392" s="517" t="s">
        <v>737</v>
      </c>
      <c r="B392" s="517" t="s">
        <v>17</v>
      </c>
      <c r="C392" s="517"/>
      <c r="D392" s="517" t="s">
        <v>289</v>
      </c>
      <c r="E392" s="140" t="s">
        <v>639</v>
      </c>
      <c r="F392" s="432" t="s">
        <v>9</v>
      </c>
      <c r="G392" s="518">
        <v>1220</v>
      </c>
      <c r="H392" s="404">
        <f>Ühikhinnad!$C$4</f>
        <v>160</v>
      </c>
      <c r="I392" s="405">
        <f>G392*H392</f>
        <v>195200</v>
      </c>
      <c r="J392" s="612">
        <f>yld*I392</f>
        <v>224479.99999999997</v>
      </c>
      <c r="K392" s="608"/>
      <c r="L392" s="608"/>
      <c r="M392" s="608"/>
      <c r="N392" s="414"/>
      <c r="Y392" s="418"/>
      <c r="Z392" s="418"/>
      <c r="AA392" s="418"/>
    </row>
    <row r="393" spans="1:49" ht="15.5" thickBot="1" x14ac:dyDescent="0.4">
      <c r="E393" s="384" t="s">
        <v>642</v>
      </c>
      <c r="F393" s="384"/>
      <c r="G393" s="503"/>
      <c r="H393" s="426"/>
      <c r="I393" s="384"/>
      <c r="J393" s="389">
        <f>J394+J402</f>
        <v>77107.5</v>
      </c>
      <c r="K393" s="620">
        <f t="shared" ref="K393:M393" si="896">K394+K402</f>
        <v>0</v>
      </c>
      <c r="L393" s="620">
        <f t="shared" si="896"/>
        <v>77107.5</v>
      </c>
      <c r="M393" s="620">
        <f t="shared" si="896"/>
        <v>0</v>
      </c>
      <c r="N393" s="375" t="str">
        <f>IF(J393=K393+L393+M393,"OK","viga")</f>
        <v>OK</v>
      </c>
      <c r="AC393" s="375"/>
      <c r="AD393" s="375"/>
      <c r="AE393" s="375"/>
      <c r="AF393" s="375"/>
      <c r="AG393" s="375"/>
      <c r="AH393" s="375"/>
      <c r="AI393" s="375"/>
      <c r="AJ393" s="375"/>
      <c r="AK393" s="375"/>
      <c r="AL393" s="375"/>
      <c r="AM393" s="375"/>
      <c r="AN393" s="375"/>
    </row>
    <row r="394" spans="1:49" s="390" customFormat="1" ht="10.5" thickTop="1" x14ac:dyDescent="0.35">
      <c r="A394" s="370"/>
      <c r="B394" s="370"/>
      <c r="C394" s="370"/>
      <c r="D394" s="370"/>
      <c r="E394" s="391" t="s">
        <v>581</v>
      </c>
      <c r="F394" s="392"/>
      <c r="G394" s="392"/>
      <c r="H394" s="393"/>
      <c r="I394" s="394"/>
      <c r="J394" s="610">
        <f>J396+J400</f>
        <v>77107.5</v>
      </c>
      <c r="K394" s="617">
        <f t="shared" ref="K394:M394" si="897">K396+K400</f>
        <v>0</v>
      </c>
      <c r="L394" s="617">
        <f t="shared" si="897"/>
        <v>77107.5</v>
      </c>
      <c r="M394" s="617">
        <f t="shared" si="897"/>
        <v>0</v>
      </c>
      <c r="N394" s="375"/>
      <c r="AO394" s="375"/>
      <c r="AP394" s="375"/>
      <c r="AQ394" s="375"/>
      <c r="AR394" s="375"/>
      <c r="AS394" s="375"/>
      <c r="AT394" s="375"/>
      <c r="AU394" s="375"/>
      <c r="AV394" s="375"/>
      <c r="AW394" s="375"/>
    </row>
    <row r="395" spans="1:49" x14ac:dyDescent="0.35">
      <c r="A395" s="376" t="s">
        <v>8</v>
      </c>
      <c r="B395" s="376" t="s">
        <v>14</v>
      </c>
      <c r="C395" s="376" t="s">
        <v>13</v>
      </c>
      <c r="D395" s="376" t="s">
        <v>6</v>
      </c>
      <c r="E395" s="377" t="s">
        <v>0</v>
      </c>
      <c r="F395" s="378" t="s">
        <v>1</v>
      </c>
      <c r="G395" s="379" t="s">
        <v>2</v>
      </c>
      <c r="H395" s="380" t="s">
        <v>3</v>
      </c>
      <c r="I395" s="380" t="s">
        <v>4</v>
      </c>
      <c r="J395" s="609" t="s">
        <v>52</v>
      </c>
      <c r="K395" s="623"/>
      <c r="L395" s="627">
        <v>1</v>
      </c>
      <c r="M395" s="629">
        <f>100%-L395</f>
        <v>0</v>
      </c>
      <c r="N395" s="390"/>
      <c r="O395" s="395" t="s">
        <v>181</v>
      </c>
      <c r="P395" s="382">
        <v>2024</v>
      </c>
      <c r="Q395" s="382">
        <v>2025</v>
      </c>
      <c r="R395" s="382">
        <v>2026</v>
      </c>
      <c r="S395" s="382">
        <v>2027</v>
      </c>
      <c r="T395" s="383">
        <v>2028</v>
      </c>
      <c r="U395" s="383">
        <v>2029</v>
      </c>
      <c r="V395" s="383">
        <v>2030</v>
      </c>
      <c r="W395" s="383">
        <v>2031</v>
      </c>
      <c r="X395" s="383">
        <v>2032</v>
      </c>
      <c r="Y395" s="383">
        <v>2033</v>
      </c>
      <c r="Z395" s="383">
        <v>2034</v>
      </c>
      <c r="AA395" s="383">
        <v>2035</v>
      </c>
      <c r="AB395" s="390"/>
      <c r="AC395" s="382">
        <v>2024</v>
      </c>
      <c r="AD395" s="382">
        <v>2025</v>
      </c>
      <c r="AE395" s="382">
        <v>2026</v>
      </c>
      <c r="AF395" s="382">
        <v>2027</v>
      </c>
      <c r="AG395" s="383">
        <v>2028</v>
      </c>
      <c r="AH395" s="383">
        <v>2029</v>
      </c>
      <c r="AI395" s="383">
        <v>2030</v>
      </c>
      <c r="AJ395" s="383">
        <v>2031</v>
      </c>
      <c r="AK395" s="383">
        <v>2032</v>
      </c>
      <c r="AL395" s="383">
        <v>2033</v>
      </c>
      <c r="AM395" s="383">
        <v>2034</v>
      </c>
      <c r="AN395" s="383">
        <v>2035</v>
      </c>
    </row>
    <row r="396" spans="1:49" s="390" customFormat="1" x14ac:dyDescent="0.35">
      <c r="A396" s="370"/>
      <c r="B396" s="370"/>
      <c r="C396" s="370"/>
      <c r="D396" s="370"/>
      <c r="E396" s="396" t="s">
        <v>582</v>
      </c>
      <c r="F396" s="397"/>
      <c r="G396" s="397"/>
      <c r="H396" s="398"/>
      <c r="I396" s="399"/>
      <c r="J396" s="399">
        <f>SUM(J397:J399)</f>
        <v>77107.5</v>
      </c>
      <c r="K396" s="621">
        <f t="shared" ref="K396:M396" si="898">SUM(K397:K399)</f>
        <v>0</v>
      </c>
      <c r="L396" s="621">
        <f t="shared" si="898"/>
        <v>77107.5</v>
      </c>
      <c r="M396" s="621">
        <f t="shared" si="898"/>
        <v>0</v>
      </c>
      <c r="N396" s="375"/>
      <c r="O396" s="400"/>
      <c r="P396" s="400"/>
      <c r="Q396" s="400"/>
      <c r="R396" s="400"/>
      <c r="S396" s="400"/>
      <c r="T396" s="400"/>
      <c r="U396" s="400"/>
      <c r="V396" s="400"/>
      <c r="W396" s="400"/>
      <c r="X396" s="400"/>
      <c r="Y396" s="400"/>
      <c r="Z396" s="400"/>
      <c r="AA396" s="400"/>
      <c r="AC396" s="400"/>
      <c r="AD396" s="400"/>
      <c r="AE396" s="400"/>
      <c r="AF396" s="400"/>
      <c r="AG396" s="400"/>
      <c r="AH396" s="400"/>
      <c r="AI396" s="400"/>
      <c r="AJ396" s="400"/>
      <c r="AK396" s="400"/>
      <c r="AL396" s="400"/>
      <c r="AM396" s="400"/>
      <c r="AN396" s="400"/>
      <c r="AO396" s="375"/>
      <c r="AP396" s="375"/>
      <c r="AQ396" s="375"/>
      <c r="AR396" s="375"/>
      <c r="AS396" s="375"/>
      <c r="AT396" s="375"/>
      <c r="AU396" s="375"/>
      <c r="AV396" s="375"/>
      <c r="AW396" s="375"/>
    </row>
    <row r="397" spans="1:49" x14ac:dyDescent="0.35">
      <c r="A397" s="401" t="s">
        <v>583</v>
      </c>
      <c r="B397" s="401" t="s">
        <v>15</v>
      </c>
      <c r="C397" s="401" t="s">
        <v>748</v>
      </c>
      <c r="D397" s="401" t="s">
        <v>486</v>
      </c>
      <c r="E397" s="140" t="s">
        <v>808</v>
      </c>
      <c r="F397" s="402" t="s">
        <v>585</v>
      </c>
      <c r="G397" s="403">
        <v>2</v>
      </c>
      <c r="H397" s="424">
        <v>20000</v>
      </c>
      <c r="I397" s="405">
        <f>G397*H397</f>
        <v>40000</v>
      </c>
      <c r="J397" s="612">
        <f>yld*I397</f>
        <v>46000</v>
      </c>
      <c r="K397" s="608">
        <f t="shared" ref="K397:K399" si="899">J397-L397-M397</f>
        <v>0</v>
      </c>
      <c r="L397" s="608">
        <f>$J397*L$395</f>
        <v>46000</v>
      </c>
      <c r="M397" s="608">
        <f>$J397*M$395</f>
        <v>0</v>
      </c>
      <c r="N397" s="406" t="s">
        <v>830</v>
      </c>
      <c r="O397" s="407">
        <v>25</v>
      </c>
      <c r="P397" s="408">
        <f>$J397</f>
        <v>46000</v>
      </c>
      <c r="Q397" s="408"/>
      <c r="R397" s="408"/>
      <c r="S397" s="408"/>
      <c r="T397" s="408"/>
      <c r="U397" s="408"/>
      <c r="V397" s="408"/>
      <c r="W397" s="408"/>
      <c r="X397" s="408"/>
      <c r="Y397" s="408"/>
      <c r="Z397" s="408"/>
      <c r="AA397" s="408"/>
      <c r="AB397" s="390"/>
      <c r="AC397" s="632">
        <f t="shared" ref="AC397:AC399" si="900">IFERROR(P397*$K397/$J397,0)</f>
        <v>0</v>
      </c>
      <c r="AD397" s="632">
        <f t="shared" ref="AD397:AD399" si="901">IFERROR(Q397*$K397/$J397,0)</f>
        <v>0</v>
      </c>
      <c r="AE397" s="632">
        <f t="shared" ref="AE397:AE399" si="902">IFERROR(R397*$K397/$J397,0)</f>
        <v>0</v>
      </c>
      <c r="AF397" s="632">
        <f t="shared" ref="AF397:AF399" si="903">IFERROR(S397*$K397/$J397,0)</f>
        <v>0</v>
      </c>
      <c r="AG397" s="632">
        <f t="shared" ref="AG397:AG399" si="904">IFERROR(T397*$K397/$J397,0)</f>
        <v>0</v>
      </c>
      <c r="AH397" s="632">
        <f t="shared" ref="AH397:AH399" si="905">IFERROR(U397*$K397/$J397,0)</f>
        <v>0</v>
      </c>
      <c r="AI397" s="632">
        <f t="shared" ref="AI397:AI399" si="906">IFERROR(V397*$K397/$J397,0)</f>
        <v>0</v>
      </c>
      <c r="AJ397" s="632">
        <f t="shared" ref="AJ397:AJ399" si="907">IFERROR(W397*$K397/$J397,0)</f>
        <v>0</v>
      </c>
      <c r="AK397" s="632">
        <f t="shared" ref="AK397:AK399" si="908">IFERROR(X397*$K397/$J397,0)</f>
        <v>0</v>
      </c>
      <c r="AL397" s="632">
        <f t="shared" ref="AL397:AL399" si="909">IFERROR(Y397*$K397/$J397,0)</f>
        <v>0</v>
      </c>
      <c r="AM397" s="632">
        <f t="shared" ref="AM397:AM399" si="910">IFERROR(Z397*$K397/$J397,0)</f>
        <v>0</v>
      </c>
      <c r="AN397" s="632">
        <f t="shared" ref="AN397:AN399" si="911">IFERROR(AA397*$K397/$J397,0)</f>
        <v>0</v>
      </c>
    </row>
    <row r="398" spans="1:49" x14ac:dyDescent="0.35">
      <c r="A398" s="401" t="s">
        <v>583</v>
      </c>
      <c r="B398" s="401" t="s">
        <v>15</v>
      </c>
      <c r="C398" s="401" t="s">
        <v>745</v>
      </c>
      <c r="D398" s="401" t="s">
        <v>486</v>
      </c>
      <c r="E398" s="140" t="s">
        <v>747</v>
      </c>
      <c r="F398" s="402" t="s">
        <v>9</v>
      </c>
      <c r="G398" s="403">
        <v>200</v>
      </c>
      <c r="H398" s="404">
        <f>Ühikhinnad!$C$2</f>
        <v>130</v>
      </c>
      <c r="I398" s="405">
        <f>G398*H398</f>
        <v>26000</v>
      </c>
      <c r="J398" s="612">
        <f>yld*I398</f>
        <v>29899.999999999996</v>
      </c>
      <c r="K398" s="608">
        <f t="shared" si="899"/>
        <v>0</v>
      </c>
      <c r="L398" s="608">
        <f t="shared" ref="L398:M399" si="912">$J398*L$395</f>
        <v>29899.999999999996</v>
      </c>
      <c r="M398" s="608">
        <f t="shared" si="912"/>
        <v>0</v>
      </c>
      <c r="N398" s="406" t="s">
        <v>830</v>
      </c>
      <c r="O398" s="407">
        <v>50</v>
      </c>
      <c r="P398" s="408">
        <f>$J398</f>
        <v>29899.999999999996</v>
      </c>
      <c r="Q398" s="408"/>
      <c r="R398" s="408"/>
      <c r="S398" s="408"/>
      <c r="T398" s="408"/>
      <c r="U398" s="408"/>
      <c r="V398" s="408"/>
      <c r="W398" s="408"/>
      <c r="X398" s="408"/>
      <c r="Y398" s="408"/>
      <c r="Z398" s="408"/>
      <c r="AA398" s="408"/>
      <c r="AB398" s="390"/>
      <c r="AC398" s="632">
        <f t="shared" si="900"/>
        <v>0</v>
      </c>
      <c r="AD398" s="632">
        <f t="shared" si="901"/>
        <v>0</v>
      </c>
      <c r="AE398" s="632">
        <f t="shared" si="902"/>
        <v>0</v>
      </c>
      <c r="AF398" s="632">
        <f t="shared" si="903"/>
        <v>0</v>
      </c>
      <c r="AG398" s="632">
        <f t="shared" si="904"/>
        <v>0</v>
      </c>
      <c r="AH398" s="632">
        <f t="shared" si="905"/>
        <v>0</v>
      </c>
      <c r="AI398" s="632">
        <f t="shared" si="906"/>
        <v>0</v>
      </c>
      <c r="AJ398" s="632">
        <f t="shared" si="907"/>
        <v>0</v>
      </c>
      <c r="AK398" s="632">
        <f t="shared" si="908"/>
        <v>0</v>
      </c>
      <c r="AL398" s="632">
        <f t="shared" si="909"/>
        <v>0</v>
      </c>
      <c r="AM398" s="632">
        <f t="shared" si="910"/>
        <v>0</v>
      </c>
      <c r="AN398" s="632">
        <f t="shared" si="911"/>
        <v>0</v>
      </c>
    </row>
    <row r="399" spans="1:49" x14ac:dyDescent="0.35">
      <c r="A399" s="401" t="s">
        <v>583</v>
      </c>
      <c r="B399" s="401" t="s">
        <v>15</v>
      </c>
      <c r="C399" s="401" t="s">
        <v>745</v>
      </c>
      <c r="D399" s="401" t="s">
        <v>486</v>
      </c>
      <c r="E399" s="140" t="s">
        <v>618</v>
      </c>
      <c r="F399" s="402" t="s">
        <v>5</v>
      </c>
      <c r="G399" s="438">
        <v>3</v>
      </c>
      <c r="H399" s="404">
        <f>Ühikhinnad!$C$11</f>
        <v>350</v>
      </c>
      <c r="I399" s="405">
        <f>G399*H399</f>
        <v>1050</v>
      </c>
      <c r="J399" s="612">
        <f>yld*I399</f>
        <v>1207.5</v>
      </c>
      <c r="K399" s="608">
        <f t="shared" si="899"/>
        <v>0</v>
      </c>
      <c r="L399" s="608">
        <f t="shared" si="912"/>
        <v>1207.5</v>
      </c>
      <c r="M399" s="608">
        <f t="shared" si="912"/>
        <v>0</v>
      </c>
      <c r="N399" s="406" t="s">
        <v>830</v>
      </c>
      <c r="O399" s="407">
        <v>50</v>
      </c>
      <c r="P399" s="408">
        <f>$J399</f>
        <v>1207.5</v>
      </c>
      <c r="Q399" s="408"/>
      <c r="R399" s="408"/>
      <c r="S399" s="408"/>
      <c r="T399" s="408"/>
      <c r="U399" s="408"/>
      <c r="V399" s="408"/>
      <c r="W399" s="408"/>
      <c r="X399" s="408"/>
      <c r="Y399" s="408"/>
      <c r="Z399" s="408"/>
      <c r="AA399" s="408"/>
      <c r="AB399" s="390"/>
      <c r="AC399" s="632">
        <f t="shared" si="900"/>
        <v>0</v>
      </c>
      <c r="AD399" s="632">
        <f t="shared" si="901"/>
        <v>0</v>
      </c>
      <c r="AE399" s="632">
        <f t="shared" si="902"/>
        <v>0</v>
      </c>
      <c r="AF399" s="632">
        <f t="shared" si="903"/>
        <v>0</v>
      </c>
      <c r="AG399" s="632">
        <f t="shared" si="904"/>
        <v>0</v>
      </c>
      <c r="AH399" s="632">
        <f t="shared" si="905"/>
        <v>0</v>
      </c>
      <c r="AI399" s="632">
        <f t="shared" si="906"/>
        <v>0</v>
      </c>
      <c r="AJ399" s="632">
        <f t="shared" si="907"/>
        <v>0</v>
      </c>
      <c r="AK399" s="632">
        <f t="shared" si="908"/>
        <v>0</v>
      </c>
      <c r="AL399" s="632">
        <f t="shared" si="909"/>
        <v>0</v>
      </c>
      <c r="AM399" s="632">
        <f t="shared" si="910"/>
        <v>0</v>
      </c>
      <c r="AN399" s="632">
        <f t="shared" si="911"/>
        <v>0</v>
      </c>
    </row>
    <row r="400" spans="1:49" outlineLevel="1" x14ac:dyDescent="0.35">
      <c r="E400" s="410" t="s">
        <v>588</v>
      </c>
      <c r="F400" s="428"/>
      <c r="G400" s="428"/>
      <c r="H400" s="429"/>
      <c r="I400" s="430"/>
      <c r="J400" s="413">
        <f>SUM(J401:J401)</f>
        <v>0</v>
      </c>
      <c r="K400" s="622">
        <f t="shared" ref="K400:M400" si="913">SUM(K401:K401)</f>
        <v>0</v>
      </c>
      <c r="L400" s="622">
        <f t="shared" si="913"/>
        <v>0</v>
      </c>
      <c r="M400" s="622">
        <f t="shared" si="913"/>
        <v>0</v>
      </c>
      <c r="O400" s="431"/>
      <c r="P400" s="431"/>
      <c r="Q400" s="431"/>
      <c r="R400" s="431"/>
      <c r="S400" s="431"/>
      <c r="T400" s="431"/>
      <c r="U400" s="431"/>
      <c r="V400" s="431"/>
      <c r="W400" s="431"/>
      <c r="X400" s="431"/>
      <c r="Y400" s="431"/>
      <c r="Z400" s="431"/>
      <c r="AA400" s="431"/>
      <c r="AC400" s="431"/>
      <c r="AD400" s="431"/>
      <c r="AE400" s="431"/>
      <c r="AF400" s="431"/>
      <c r="AG400" s="431"/>
      <c r="AH400" s="431"/>
      <c r="AI400" s="431"/>
      <c r="AJ400" s="431"/>
      <c r="AK400" s="431"/>
      <c r="AL400" s="431"/>
      <c r="AM400" s="431"/>
      <c r="AN400" s="431"/>
    </row>
    <row r="401" spans="1:49" s="390" customFormat="1" outlineLevel="1" x14ac:dyDescent="0.35">
      <c r="A401" s="401"/>
      <c r="B401" s="401"/>
      <c r="C401" s="401"/>
      <c r="D401" s="401"/>
      <c r="E401" s="161"/>
      <c r="F401" s="432"/>
      <c r="G401" s="433"/>
      <c r="H401" s="434"/>
      <c r="I401" s="405">
        <f>G401*H401</f>
        <v>0</v>
      </c>
      <c r="J401" s="612">
        <f>yld*I401</f>
        <v>0</v>
      </c>
      <c r="K401" s="608"/>
      <c r="L401" s="608"/>
      <c r="M401" s="608"/>
      <c r="N401" s="375"/>
      <c r="O401" s="407"/>
      <c r="P401" s="408"/>
      <c r="Q401" s="408"/>
      <c r="R401" s="408"/>
      <c r="S401" s="408"/>
      <c r="T401" s="408"/>
      <c r="U401" s="408"/>
      <c r="V401" s="408"/>
      <c r="W401" s="408"/>
      <c r="X401" s="408"/>
      <c r="Y401" s="408"/>
      <c r="Z401" s="408"/>
      <c r="AA401" s="408"/>
      <c r="AB401" s="375"/>
      <c r="AC401" s="632">
        <f>IFERROR(P401*$K401/$J401,0)</f>
        <v>0</v>
      </c>
      <c r="AD401" s="632">
        <f t="shared" ref="AD401" si="914">IFERROR(Q401*$K401/$J401,0)</f>
        <v>0</v>
      </c>
      <c r="AE401" s="632">
        <f t="shared" ref="AE401" si="915">IFERROR(R401*$K401/$J401,0)</f>
        <v>0</v>
      </c>
      <c r="AF401" s="632">
        <f t="shared" ref="AF401" si="916">IFERROR(S401*$K401/$J401,0)</f>
        <v>0</v>
      </c>
      <c r="AG401" s="632">
        <f t="shared" ref="AG401" si="917">IFERROR(T401*$K401/$J401,0)</f>
        <v>0</v>
      </c>
      <c r="AH401" s="632">
        <f t="shared" ref="AH401" si="918">IFERROR(U401*$K401/$J401,0)</f>
        <v>0</v>
      </c>
      <c r="AI401" s="632">
        <f t="shared" ref="AI401" si="919">IFERROR(V401*$K401/$J401,0)</f>
        <v>0</v>
      </c>
      <c r="AJ401" s="632">
        <f t="shared" ref="AJ401" si="920">IFERROR(W401*$K401/$J401,0)</f>
        <v>0</v>
      </c>
      <c r="AK401" s="632">
        <f t="shared" ref="AK401" si="921">IFERROR(X401*$K401/$J401,0)</f>
        <v>0</v>
      </c>
      <c r="AL401" s="632">
        <f t="shared" ref="AL401" si="922">IFERROR(Y401*$K401/$J401,0)</f>
        <v>0</v>
      </c>
      <c r="AM401" s="632">
        <f t="shared" ref="AM401" si="923">IFERROR(Z401*$K401/$J401,0)</f>
        <v>0</v>
      </c>
      <c r="AN401" s="632">
        <f t="shared" ref="AN401" si="924">IFERROR(AA401*$K401/$J401,0)</f>
        <v>0</v>
      </c>
      <c r="AO401" s="375"/>
      <c r="AP401" s="375"/>
      <c r="AQ401" s="375"/>
      <c r="AR401" s="375"/>
      <c r="AS401" s="375"/>
      <c r="AT401" s="375"/>
      <c r="AU401" s="375"/>
      <c r="AV401" s="375"/>
      <c r="AW401" s="375"/>
    </row>
    <row r="402" spans="1:49" ht="10.75" customHeight="1" outlineLevel="1" x14ac:dyDescent="0.35">
      <c r="E402" s="420" t="s">
        <v>594</v>
      </c>
      <c r="F402" s="421"/>
      <c r="G402" s="421"/>
      <c r="H402" s="422"/>
      <c r="I402" s="423"/>
      <c r="J402" s="614">
        <f>J404+J406</f>
        <v>0</v>
      </c>
      <c r="K402" s="617">
        <f t="shared" ref="K402:M402" si="925">K404+K406</f>
        <v>0</v>
      </c>
      <c r="L402" s="617">
        <f t="shared" si="925"/>
        <v>0</v>
      </c>
      <c r="M402" s="617">
        <f t="shared" si="925"/>
        <v>0</v>
      </c>
      <c r="O402" s="375"/>
      <c r="AC402" s="375"/>
      <c r="AD402" s="375"/>
      <c r="AE402" s="375"/>
      <c r="AF402" s="375"/>
      <c r="AG402" s="375"/>
      <c r="AH402" s="375"/>
      <c r="AI402" s="375"/>
      <c r="AJ402" s="375"/>
      <c r="AK402" s="375"/>
      <c r="AL402" s="375"/>
      <c r="AM402" s="375"/>
      <c r="AN402" s="375"/>
    </row>
    <row r="403" spans="1:49" outlineLevel="1" x14ac:dyDescent="0.35">
      <c r="A403" s="376" t="s">
        <v>8</v>
      </c>
      <c r="B403" s="376" t="s">
        <v>14</v>
      </c>
      <c r="C403" s="376" t="s">
        <v>13</v>
      </c>
      <c r="D403" s="376" t="s">
        <v>6</v>
      </c>
      <c r="E403" s="377" t="s">
        <v>0</v>
      </c>
      <c r="F403" s="378" t="s">
        <v>1</v>
      </c>
      <c r="G403" s="379" t="s">
        <v>2</v>
      </c>
      <c r="H403" s="380" t="s">
        <v>3</v>
      </c>
      <c r="I403" s="380" t="s">
        <v>4</v>
      </c>
      <c r="J403" s="609" t="s">
        <v>52</v>
      </c>
      <c r="K403" s="623"/>
      <c r="L403" s="623"/>
      <c r="M403" s="623"/>
      <c r="N403" s="390"/>
      <c r="O403" s="395" t="s">
        <v>181</v>
      </c>
      <c r="P403" s="382">
        <v>2024</v>
      </c>
      <c r="Q403" s="382">
        <v>2025</v>
      </c>
      <c r="R403" s="382">
        <v>2026</v>
      </c>
      <c r="S403" s="382">
        <v>2027</v>
      </c>
      <c r="T403" s="383">
        <v>2028</v>
      </c>
      <c r="U403" s="383">
        <v>2029</v>
      </c>
      <c r="V403" s="383">
        <v>2030</v>
      </c>
      <c r="W403" s="383">
        <v>2031</v>
      </c>
      <c r="X403" s="383">
        <v>2032</v>
      </c>
      <c r="Y403" s="383">
        <v>2033</v>
      </c>
      <c r="Z403" s="383">
        <v>2034</v>
      </c>
      <c r="AA403" s="383">
        <v>2035</v>
      </c>
      <c r="AC403" s="382">
        <v>2024</v>
      </c>
      <c r="AD403" s="382">
        <v>2025</v>
      </c>
      <c r="AE403" s="382">
        <v>2026</v>
      </c>
      <c r="AF403" s="382">
        <v>2027</v>
      </c>
      <c r="AG403" s="383">
        <v>2028</v>
      </c>
      <c r="AH403" s="383">
        <v>2029</v>
      </c>
      <c r="AI403" s="383">
        <v>2030</v>
      </c>
      <c r="AJ403" s="383">
        <v>2031</v>
      </c>
      <c r="AK403" s="383">
        <v>2032</v>
      </c>
      <c r="AL403" s="383">
        <v>2033</v>
      </c>
      <c r="AM403" s="383">
        <v>2034</v>
      </c>
      <c r="AN403" s="383">
        <v>2035</v>
      </c>
    </row>
    <row r="404" spans="1:49" s="390" customFormat="1" outlineLevel="1" x14ac:dyDescent="0.35">
      <c r="A404" s="370"/>
      <c r="B404" s="370"/>
      <c r="C404" s="370"/>
      <c r="D404" s="370"/>
      <c r="E404" s="396" t="s">
        <v>582</v>
      </c>
      <c r="F404" s="397"/>
      <c r="G404" s="397"/>
      <c r="H404" s="398"/>
      <c r="I404" s="399"/>
      <c r="J404" s="399">
        <f>SUM(J405:J405)</f>
        <v>0</v>
      </c>
      <c r="K404" s="621">
        <f t="shared" ref="K404:M404" si="926">SUM(K405:K405)</f>
        <v>0</v>
      </c>
      <c r="L404" s="621">
        <f t="shared" si="926"/>
        <v>0</v>
      </c>
      <c r="M404" s="621">
        <f t="shared" si="926"/>
        <v>0</v>
      </c>
      <c r="N404" s="375"/>
      <c r="O404" s="400"/>
      <c r="P404" s="400"/>
      <c r="Q404" s="400"/>
      <c r="R404" s="400"/>
      <c r="S404" s="400"/>
      <c r="T404" s="400"/>
      <c r="U404" s="400"/>
      <c r="V404" s="400"/>
      <c r="W404" s="400"/>
      <c r="X404" s="400"/>
      <c r="Y404" s="400"/>
      <c r="Z404" s="400"/>
      <c r="AA404" s="400"/>
      <c r="AB404" s="375"/>
      <c r="AC404" s="400"/>
      <c r="AD404" s="400"/>
      <c r="AE404" s="400"/>
      <c r="AF404" s="400"/>
      <c r="AG404" s="400"/>
      <c r="AH404" s="400"/>
      <c r="AI404" s="400"/>
      <c r="AJ404" s="400"/>
      <c r="AK404" s="400"/>
      <c r="AL404" s="400"/>
      <c r="AM404" s="400"/>
      <c r="AN404" s="400"/>
      <c r="AO404" s="375"/>
      <c r="AP404" s="375"/>
      <c r="AQ404" s="375"/>
      <c r="AR404" s="375"/>
      <c r="AS404" s="375"/>
      <c r="AT404" s="375"/>
      <c r="AU404" s="375"/>
      <c r="AV404" s="375"/>
      <c r="AW404" s="375"/>
    </row>
    <row r="405" spans="1:49" outlineLevel="1" x14ac:dyDescent="0.35">
      <c r="A405" s="401"/>
      <c r="B405" s="401"/>
      <c r="C405" s="401"/>
      <c r="D405" s="401"/>
      <c r="E405" s="427"/>
      <c r="F405" s="432"/>
      <c r="G405" s="433"/>
      <c r="H405" s="434"/>
      <c r="I405" s="405">
        <f>G405*H405</f>
        <v>0</v>
      </c>
      <c r="J405" s="612">
        <f>yld*I405</f>
        <v>0</v>
      </c>
      <c r="K405" s="608"/>
      <c r="L405" s="608"/>
      <c r="M405" s="608"/>
      <c r="N405" s="406"/>
      <c r="O405" s="407"/>
      <c r="P405" s="408"/>
      <c r="Q405" s="408"/>
      <c r="R405" s="408"/>
      <c r="S405" s="408"/>
      <c r="T405" s="408"/>
      <c r="U405" s="408"/>
      <c r="V405" s="408"/>
      <c r="W405" s="408"/>
      <c r="X405" s="408"/>
      <c r="Y405" s="408"/>
      <c r="Z405" s="408"/>
      <c r="AA405" s="408"/>
      <c r="AC405" s="632">
        <f>IFERROR(P405*$K405/$J405,0)</f>
        <v>0</v>
      </c>
      <c r="AD405" s="632">
        <f t="shared" ref="AD405" si="927">IFERROR(Q405*$K405/$J405,0)</f>
        <v>0</v>
      </c>
      <c r="AE405" s="632">
        <f t="shared" ref="AE405" si="928">IFERROR(R405*$K405/$J405,0)</f>
        <v>0</v>
      </c>
      <c r="AF405" s="632">
        <f t="shared" ref="AF405" si="929">IFERROR(S405*$K405/$J405,0)</f>
        <v>0</v>
      </c>
      <c r="AG405" s="632">
        <f t="shared" ref="AG405" si="930">IFERROR(T405*$K405/$J405,0)</f>
        <v>0</v>
      </c>
      <c r="AH405" s="632">
        <f t="shared" ref="AH405" si="931">IFERROR(U405*$K405/$J405,0)</f>
        <v>0</v>
      </c>
      <c r="AI405" s="632">
        <f t="shared" ref="AI405" si="932">IFERROR(V405*$K405/$J405,0)</f>
        <v>0</v>
      </c>
      <c r="AJ405" s="632">
        <f t="shared" ref="AJ405" si="933">IFERROR(W405*$K405/$J405,0)</f>
        <v>0</v>
      </c>
      <c r="AK405" s="632">
        <f t="shared" ref="AK405" si="934">IFERROR(X405*$K405/$J405,0)</f>
        <v>0</v>
      </c>
      <c r="AL405" s="632">
        <f t="shared" ref="AL405" si="935">IFERROR(Y405*$K405/$J405,0)</f>
        <v>0</v>
      </c>
      <c r="AM405" s="632">
        <f t="shared" ref="AM405" si="936">IFERROR(Z405*$K405/$J405,0)</f>
        <v>0</v>
      </c>
      <c r="AN405" s="632">
        <f t="shared" ref="AN405" si="937">IFERROR(AA405*$K405/$J405,0)</f>
        <v>0</v>
      </c>
    </row>
    <row r="406" spans="1:49" outlineLevel="1" x14ac:dyDescent="0.35">
      <c r="E406" s="410" t="s">
        <v>588</v>
      </c>
      <c r="F406" s="428"/>
      <c r="G406" s="428"/>
      <c r="H406" s="429"/>
      <c r="I406" s="430"/>
      <c r="J406" s="413">
        <f>SUM(J407:J407)</f>
        <v>0</v>
      </c>
      <c r="K406" s="622">
        <f t="shared" ref="K406:M406" si="938">SUM(K407:K407)</f>
        <v>0</v>
      </c>
      <c r="L406" s="622">
        <f t="shared" si="938"/>
        <v>0</v>
      </c>
      <c r="M406" s="622">
        <f t="shared" si="938"/>
        <v>0</v>
      </c>
      <c r="O406" s="431"/>
      <c r="P406" s="431"/>
      <c r="Q406" s="431"/>
      <c r="R406" s="431"/>
      <c r="S406" s="431"/>
      <c r="T406" s="431"/>
      <c r="U406" s="431"/>
      <c r="V406" s="431"/>
      <c r="W406" s="431"/>
      <c r="X406" s="431"/>
      <c r="Y406" s="431"/>
      <c r="Z406" s="431"/>
      <c r="AA406" s="431"/>
      <c r="AC406" s="431"/>
      <c r="AD406" s="431"/>
      <c r="AE406" s="431"/>
      <c r="AF406" s="431"/>
      <c r="AG406" s="431"/>
      <c r="AH406" s="431"/>
      <c r="AI406" s="431"/>
      <c r="AJ406" s="431"/>
      <c r="AK406" s="431"/>
      <c r="AL406" s="431"/>
      <c r="AM406" s="431"/>
      <c r="AN406" s="431"/>
    </row>
    <row r="407" spans="1:49" outlineLevel="1" x14ac:dyDescent="0.35">
      <c r="A407" s="401"/>
      <c r="B407" s="401"/>
      <c r="C407" s="401"/>
      <c r="D407" s="401"/>
      <c r="E407" s="427"/>
      <c r="F407" s="432"/>
      <c r="G407" s="433"/>
      <c r="H407" s="434"/>
      <c r="I407" s="405">
        <f>G407*H407</f>
        <v>0</v>
      </c>
      <c r="J407" s="612">
        <f>yld*I407</f>
        <v>0</v>
      </c>
      <c r="K407" s="608"/>
      <c r="L407" s="608"/>
      <c r="M407" s="608"/>
      <c r="O407" s="407"/>
      <c r="P407" s="408"/>
      <c r="Q407" s="408"/>
      <c r="R407" s="408"/>
      <c r="S407" s="408"/>
      <c r="T407" s="408"/>
      <c r="U407" s="408"/>
      <c r="V407" s="408"/>
      <c r="W407" s="408"/>
      <c r="X407" s="408"/>
      <c r="Y407" s="408"/>
      <c r="Z407" s="408"/>
      <c r="AA407" s="408"/>
      <c r="AC407" s="632">
        <f>IFERROR(P407*$K407/$J407,0)</f>
        <v>0</v>
      </c>
      <c r="AD407" s="632">
        <f t="shared" ref="AD407" si="939">IFERROR(Q407*$K407/$J407,0)</f>
        <v>0</v>
      </c>
      <c r="AE407" s="632">
        <f t="shared" ref="AE407" si="940">IFERROR(R407*$K407/$J407,0)</f>
        <v>0</v>
      </c>
      <c r="AF407" s="632">
        <f t="shared" ref="AF407" si="941">IFERROR(S407*$K407/$J407,0)</f>
        <v>0</v>
      </c>
      <c r="AG407" s="632">
        <f t="shared" ref="AG407" si="942">IFERROR(T407*$K407/$J407,0)</f>
        <v>0</v>
      </c>
      <c r="AH407" s="632">
        <f t="shared" ref="AH407" si="943">IFERROR(U407*$K407/$J407,0)</f>
        <v>0</v>
      </c>
      <c r="AI407" s="632">
        <f t="shared" ref="AI407" si="944">IFERROR(V407*$K407/$J407,0)</f>
        <v>0</v>
      </c>
      <c r="AJ407" s="632">
        <f t="shared" ref="AJ407" si="945">IFERROR(W407*$K407/$J407,0)</f>
        <v>0</v>
      </c>
      <c r="AK407" s="632">
        <f t="shared" ref="AK407" si="946">IFERROR(X407*$K407/$J407,0)</f>
        <v>0</v>
      </c>
      <c r="AL407" s="632">
        <f t="shared" ref="AL407" si="947">IFERROR(Y407*$K407/$J407,0)</f>
        <v>0</v>
      </c>
      <c r="AM407" s="632">
        <f t="shared" ref="AM407" si="948">IFERROR(Z407*$K407/$J407,0)</f>
        <v>0</v>
      </c>
      <c r="AN407" s="632">
        <f t="shared" ref="AN407" si="949">IFERROR(AA407*$K407/$J407,0)</f>
        <v>0</v>
      </c>
    </row>
    <row r="410" spans="1:49" s="390" customFormat="1" x14ac:dyDescent="0.35">
      <c r="A410" s="370"/>
      <c r="B410" s="370"/>
      <c r="C410" s="370"/>
      <c r="D410" s="370"/>
      <c r="E410" s="443"/>
      <c r="F410" s="372"/>
      <c r="G410" s="373"/>
      <c r="H410" s="374"/>
      <c r="I410" s="374"/>
      <c r="J410" s="374"/>
      <c r="K410" s="618"/>
      <c r="L410" s="618"/>
      <c r="M410" s="618"/>
      <c r="N410" s="375"/>
      <c r="P410" s="375"/>
      <c r="Q410" s="375"/>
      <c r="R410" s="375"/>
      <c r="S410" s="375"/>
      <c r="T410" s="375"/>
      <c r="U410" s="375"/>
      <c r="V410" s="375"/>
      <c r="W410" s="375"/>
      <c r="X410" s="375"/>
      <c r="Y410" s="375"/>
      <c r="Z410" s="375"/>
      <c r="AA410" s="375"/>
      <c r="AB410" s="375"/>
      <c r="AC410" s="418"/>
      <c r="AD410" s="418"/>
      <c r="AE410" s="418"/>
      <c r="AF410" s="418"/>
      <c r="AG410" s="418"/>
      <c r="AH410" s="418"/>
      <c r="AI410" s="418"/>
      <c r="AJ410" s="418"/>
      <c r="AK410" s="418"/>
      <c r="AL410" s="418"/>
      <c r="AM410" s="418"/>
      <c r="AN410" s="418"/>
      <c r="AO410" s="375"/>
      <c r="AP410" s="375"/>
      <c r="AQ410" s="375"/>
      <c r="AR410" s="375"/>
      <c r="AS410" s="375"/>
      <c r="AT410" s="375"/>
      <c r="AU410" s="375"/>
      <c r="AV410" s="375"/>
      <c r="AW410" s="375"/>
    </row>
  </sheetData>
  <autoFilter ref="A2:AA407" xr:uid="{D0F227A4-22D7-4D78-8DDE-4CBFC96D197A}"/>
  <phoneticPr fontId="7" type="noConversion"/>
  <conditionalFormatting sqref="G120 G260:G267 H264:H265 G312:G314">
    <cfRule type="containsBlanks" dxfId="161" priority="17">
      <formula>LEN(TRIM(G120))=0</formula>
    </cfRule>
  </conditionalFormatting>
  <conditionalFormatting sqref="G123">
    <cfRule type="containsBlanks" dxfId="160" priority="16">
      <formula>LEN(TRIM(G123))=0</formula>
    </cfRule>
  </conditionalFormatting>
  <conditionalFormatting sqref="G206">
    <cfRule type="containsBlanks" dxfId="159" priority="25">
      <formula>LEN(TRIM(G206))=0</formula>
    </cfRule>
  </conditionalFormatting>
  <conditionalFormatting sqref="G210">
    <cfRule type="containsBlanks" dxfId="158" priority="24">
      <formula>LEN(TRIM(G210))=0</formula>
    </cfRule>
  </conditionalFormatting>
  <conditionalFormatting sqref="G222:G224">
    <cfRule type="containsBlanks" dxfId="157" priority="22">
      <formula>LEN(TRIM(G222))=0</formula>
    </cfRule>
  </conditionalFormatting>
  <conditionalFormatting sqref="G272 G273:H273">
    <cfRule type="containsBlanks" dxfId="156" priority="199">
      <formula>LEN(TRIM(G272))=0</formula>
    </cfRule>
  </conditionalFormatting>
  <conditionalFormatting sqref="G288:G290">
    <cfRule type="containsBlanks" dxfId="155" priority="15">
      <formula>LEN(TRIM(G288))=0</formula>
    </cfRule>
  </conditionalFormatting>
  <conditionalFormatting sqref="G321">
    <cfRule type="containsBlanks" dxfId="154" priority="8">
      <formula>LEN(TRIM(G321))=0</formula>
    </cfRule>
  </conditionalFormatting>
  <conditionalFormatting sqref="G327:G330">
    <cfRule type="containsBlanks" dxfId="153" priority="11">
      <formula>LEN(TRIM(G327))=0</formula>
    </cfRule>
  </conditionalFormatting>
  <conditionalFormatting sqref="G354:G365 G401:H401">
    <cfRule type="containsBlanks" dxfId="152" priority="157">
      <formula>LEN(TRIM(G354))=0</formula>
    </cfRule>
  </conditionalFormatting>
  <conditionalFormatting sqref="G370 G371:H371 G386:H386">
    <cfRule type="containsBlanks" dxfId="151" priority="101">
      <formula>LEN(TRIM(G370))=0</formula>
    </cfRule>
  </conditionalFormatting>
  <conditionalFormatting sqref="G392">
    <cfRule type="containsBlanks" dxfId="150" priority="84">
      <formula>LEN(TRIM(G392))=0</formula>
    </cfRule>
  </conditionalFormatting>
  <conditionalFormatting sqref="G78:H80 G81 G83 G84:H85 G86 G92:H92 G99:H102 G139:H139 G140 G142 G200:H200 G241:H241 G242:G248 G250:G252 G253:H253 G254:G255 G256:H256 G257:G258 G259:H259 G291:H291">
    <cfRule type="containsBlanks" dxfId="149" priority="206">
      <formula>LEN(TRIM(G78))=0</formula>
    </cfRule>
  </conditionalFormatting>
  <conditionalFormatting sqref="G90:H90">
    <cfRule type="containsBlanks" dxfId="148" priority="205">
      <formula>LEN(TRIM(G90))=0</formula>
    </cfRule>
  </conditionalFormatting>
  <conditionalFormatting sqref="G97:H97">
    <cfRule type="containsBlanks" dxfId="147" priority="224">
      <formula>LEN(TRIM(G97))=0</formula>
    </cfRule>
  </conditionalFormatting>
  <conditionalFormatting sqref="G114:H114 G115">
    <cfRule type="containsBlanks" dxfId="146" priority="1">
      <formula>LEN(TRIM(G114))=0</formula>
    </cfRule>
  </conditionalFormatting>
  <conditionalFormatting sqref="G179:H182">
    <cfRule type="containsBlanks" dxfId="145" priority="38">
      <formula>LEN(TRIM(G179))=0</formula>
    </cfRule>
  </conditionalFormatting>
  <conditionalFormatting sqref="G197:H198">
    <cfRule type="containsBlanks" dxfId="144" priority="6">
      <formula>LEN(TRIM(G197))=0</formula>
    </cfRule>
  </conditionalFormatting>
  <conditionalFormatting sqref="G216:H216">
    <cfRule type="containsBlanks" dxfId="143" priority="42">
      <formula>LEN(TRIM(G216))=0</formula>
    </cfRule>
  </conditionalFormatting>
  <conditionalFormatting sqref="G221:H221">
    <cfRule type="containsBlanks" dxfId="142" priority="23">
      <formula>LEN(TRIM(G221))=0</formula>
    </cfRule>
  </conditionalFormatting>
  <conditionalFormatting sqref="G229:H229 G237:H237">
    <cfRule type="containsBlanks" dxfId="141" priority="250">
      <formula>LEN(TRIM(G229))=0</formula>
    </cfRule>
  </conditionalFormatting>
  <conditionalFormatting sqref="G231:H231">
    <cfRule type="containsBlanks" dxfId="140" priority="171">
      <formula>LEN(TRIM(G231))=0</formula>
    </cfRule>
  </conditionalFormatting>
  <conditionalFormatting sqref="G235:H235">
    <cfRule type="containsBlanks" dxfId="139" priority="222">
      <formula>LEN(TRIM(G235))=0</formula>
    </cfRule>
  </conditionalFormatting>
  <conditionalFormatting sqref="G275:H275 G281:H281">
    <cfRule type="containsBlanks" dxfId="138" priority="221">
      <formula>LEN(TRIM(G275))=0</formula>
    </cfRule>
  </conditionalFormatting>
  <conditionalFormatting sqref="G279:H279">
    <cfRule type="containsBlanks" dxfId="137" priority="202">
      <formula>LEN(TRIM(G279))=0</formula>
    </cfRule>
  </conditionalFormatting>
  <conditionalFormatting sqref="G285:H285 G286">
    <cfRule type="containsBlanks" dxfId="136" priority="161">
      <formula>LEN(TRIM(G285))=0</formula>
    </cfRule>
  </conditionalFormatting>
  <conditionalFormatting sqref="G296:H296 G298:H298 G304:H304">
    <cfRule type="containsBlanks" dxfId="135" priority="220">
      <formula>LEN(TRIM(G296))=0</formula>
    </cfRule>
  </conditionalFormatting>
  <conditionalFormatting sqref="G302:H302">
    <cfRule type="containsBlanks" dxfId="134" priority="219">
      <formula>LEN(TRIM(G302))=0</formula>
    </cfRule>
  </conditionalFormatting>
  <conditionalFormatting sqref="G308:H308 G309:G310">
    <cfRule type="containsBlanks" dxfId="133" priority="152">
      <formula>LEN(TRIM(G308))=0</formula>
    </cfRule>
  </conditionalFormatting>
  <conditionalFormatting sqref="G319:H319">
    <cfRule type="containsBlanks" dxfId="132" priority="195">
      <formula>LEN(TRIM(G319))=0</formula>
    </cfRule>
  </conditionalFormatting>
  <conditionalFormatting sqref="G325:H325">
    <cfRule type="containsBlanks" dxfId="131" priority="36">
      <formula>LEN(TRIM(G325))=0</formula>
    </cfRule>
  </conditionalFormatting>
  <conditionalFormatting sqref="G335:H335 G337:H337 G345:H345">
    <cfRule type="containsBlanks" dxfId="130" priority="214">
      <formula>LEN(TRIM(G335))=0</formula>
    </cfRule>
  </conditionalFormatting>
  <conditionalFormatting sqref="G341:H343">
    <cfRule type="containsBlanks" dxfId="129" priority="130">
      <formula>LEN(TRIM(G341))=0</formula>
    </cfRule>
  </conditionalFormatting>
  <conditionalFormatting sqref="G349:H349 G350:G352">
    <cfRule type="containsBlanks" dxfId="128" priority="124">
      <formula>LEN(TRIM(G349))=0</formula>
    </cfRule>
  </conditionalFormatting>
  <conditionalFormatting sqref="G373:H375 G376:G377">
    <cfRule type="containsBlanks" dxfId="127" priority="99">
      <formula>LEN(TRIM(G373))=0</formula>
    </cfRule>
  </conditionalFormatting>
  <conditionalFormatting sqref="G378:H380">
    <cfRule type="containsBlanks" dxfId="126" priority="100">
      <formula>LEN(TRIM(G378))=0</formula>
    </cfRule>
  </conditionalFormatting>
  <conditionalFormatting sqref="G384:H384">
    <cfRule type="containsBlanks" dxfId="125" priority="88">
      <formula>LEN(TRIM(G384))=0</formula>
    </cfRule>
  </conditionalFormatting>
  <conditionalFormatting sqref="G390:H390">
    <cfRule type="containsBlanks" dxfId="124" priority="97">
      <formula>LEN(TRIM(G390))=0</formula>
    </cfRule>
  </conditionalFormatting>
  <conditionalFormatting sqref="G397:H399">
    <cfRule type="containsBlanks" dxfId="123" priority="81">
      <formula>LEN(TRIM(G397))=0</formula>
    </cfRule>
  </conditionalFormatting>
  <conditionalFormatting sqref="G405:H405">
    <cfRule type="containsBlanks" dxfId="122" priority="211">
      <formula>LEN(TRIM(G405))=0</formula>
    </cfRule>
  </conditionalFormatting>
  <conditionalFormatting sqref="G407:H407">
    <cfRule type="containsBlanks" dxfId="121" priority="212">
      <formula>LEN(TRIM(G407))=0</formula>
    </cfRule>
  </conditionalFormatting>
  <conditionalFormatting sqref="H17:H18 G184:G187 G188:H189 G190:G192 G193:H193">
    <cfRule type="containsBlanks" dxfId="120" priority="255">
      <formula>LEN(TRIM(G17))=0</formula>
    </cfRule>
  </conditionalFormatting>
  <conditionalFormatting sqref="H21:H22">
    <cfRule type="containsBlanks" dxfId="119" priority="185">
      <formula>LEN(TRIM(H21))=0</formula>
    </cfRule>
  </conditionalFormatting>
  <conditionalFormatting sqref="H37:H39">
    <cfRule type="containsBlanks" dxfId="118" priority="184">
      <formula>LEN(TRIM(H37))=0</formula>
    </cfRule>
  </conditionalFormatting>
  <conditionalFormatting sqref="H58">
    <cfRule type="containsBlanks" dxfId="117" priority="5">
      <formula>LEN(TRIM(H58))=0</formula>
    </cfRule>
  </conditionalFormatting>
  <conditionalFormatting sqref="H62">
    <cfRule type="containsBlanks" dxfId="116" priority="35">
      <formula>LEN(TRIM(H62))=0</formula>
    </cfRule>
  </conditionalFormatting>
  <conditionalFormatting sqref="H66:H68">
    <cfRule type="containsBlanks" dxfId="115" priority="34">
      <formula>LEN(TRIM(H66))=0</formula>
    </cfRule>
  </conditionalFormatting>
  <conditionalFormatting sqref="H72">
    <cfRule type="containsBlanks" dxfId="114" priority="33">
      <formula>LEN(TRIM(H72))=0</formula>
    </cfRule>
  </conditionalFormatting>
  <conditionalFormatting sqref="H165:H166">
    <cfRule type="containsBlanks" dxfId="113" priority="107">
      <formula>LEN(TRIM(H165))=0</formula>
    </cfRule>
  </conditionalFormatting>
  <conditionalFormatting sqref="H260">
    <cfRule type="containsBlanks" dxfId="112" priority="19">
      <formula>LEN(TRIM(H260))=0</formula>
    </cfRule>
  </conditionalFormatting>
  <conditionalFormatting sqref="H314">
    <cfRule type="containsBlanks" dxfId="111" priority="149">
      <formula>LEN(TRIM(H314))=0</formula>
    </cfRule>
  </conditionalFormatting>
  <conditionalFormatting sqref="H329:H330">
    <cfRule type="containsBlanks" dxfId="110" priority="12">
      <formula>LEN(TRIM(H329))=0</formula>
    </cfRule>
  </conditionalFormatting>
  <conditionalFormatting sqref="H350">
    <cfRule type="containsBlanks" dxfId="109" priority="86">
      <formula>LEN(TRIM(H350))=0</formula>
    </cfRule>
  </conditionalFormatting>
  <conditionalFormatting sqref="H356:H359 H362:H363">
    <cfRule type="containsBlanks" dxfId="108" priority="122">
      <formula>LEN(TRIM(H356))=0</formula>
    </cfRule>
  </conditionalFormatting>
  <conditionalFormatting sqref="H365">
    <cfRule type="containsBlanks" dxfId="107" priority="87">
      <formula>LEN(TRIM(H365))=0</formula>
    </cfRule>
  </conditionalFormatting>
  <conditionalFormatting sqref="I7 I104:J146 I152:J171 I176:J224 I229:J267 I272:J291 I296:J314 I319:J330">
    <cfRule type="cellIs" dxfId="106" priority="78" operator="equal">
      <formula>0</formula>
    </cfRule>
  </conditionalFormatting>
  <conditionalFormatting sqref="I6:J6">
    <cfRule type="cellIs" dxfId="105" priority="77" operator="equal">
      <formula>0</formula>
    </cfRule>
  </conditionalFormatting>
  <conditionalFormatting sqref="I9:J10">
    <cfRule type="cellIs" dxfId="104" priority="75" operator="equal">
      <formula>0</formula>
    </cfRule>
  </conditionalFormatting>
  <conditionalFormatting sqref="I12:J12">
    <cfRule type="cellIs" dxfId="103" priority="76" operator="equal">
      <formula>0</formula>
    </cfRule>
  </conditionalFormatting>
  <conditionalFormatting sqref="I17:J18 I20:J27 I119:J129 I131:J146 I152:J152 H169:J171 I200:J200 I250:J267 I312:J314 I354:J365 I401:J401">
    <cfRule type="containsBlanks" dxfId="102" priority="267">
      <formula>LEN(TRIM(H17))=0</formula>
    </cfRule>
  </conditionalFormatting>
  <conditionalFormatting sqref="I17:J73">
    <cfRule type="cellIs" dxfId="101" priority="10" operator="equal">
      <formula>0</formula>
    </cfRule>
  </conditionalFormatting>
  <conditionalFormatting sqref="I31:J35">
    <cfRule type="containsBlanks" dxfId="100" priority="265">
      <formula>LEN(TRIM(I31))=0</formula>
    </cfRule>
  </conditionalFormatting>
  <conditionalFormatting sqref="I37:J42">
    <cfRule type="containsBlanks" dxfId="99" priority="264">
      <formula>LEN(TRIM(I37))=0</formula>
    </cfRule>
  </conditionalFormatting>
  <conditionalFormatting sqref="I46:J54 H154:J154 I204:J211 I213:J224">
    <cfRule type="containsBlanks" dxfId="98" priority="40">
      <formula>LEN(TRIM(H46))=0</formula>
    </cfRule>
  </conditionalFormatting>
  <conditionalFormatting sqref="I56:J73">
    <cfRule type="containsBlanks" dxfId="97" priority="9">
      <formula>LEN(TRIM(I56))=0</formula>
    </cfRule>
  </conditionalFormatting>
  <conditionalFormatting sqref="I78:J81">
    <cfRule type="containsBlanks" dxfId="96" priority="210">
      <formula>LEN(TRIM(I78))=0</formula>
    </cfRule>
  </conditionalFormatting>
  <conditionalFormatting sqref="I78:J92 I97:J102 I103 I335:J365 I397:J407">
    <cfRule type="cellIs" dxfId="95" priority="254" operator="equal">
      <formula>0</formula>
    </cfRule>
  </conditionalFormatting>
  <conditionalFormatting sqref="I83:J86">
    <cfRule type="containsBlanks" dxfId="94" priority="209">
      <formula>LEN(TRIM(I83))=0</formula>
    </cfRule>
  </conditionalFormatting>
  <conditionalFormatting sqref="I90:J90">
    <cfRule type="containsBlanks" dxfId="93" priority="208">
      <formula>LEN(TRIM(I90))=0</formula>
    </cfRule>
  </conditionalFormatting>
  <conditionalFormatting sqref="I92:J92">
    <cfRule type="containsBlanks" dxfId="92" priority="207">
      <formula>LEN(TRIM(I92))=0</formula>
    </cfRule>
  </conditionalFormatting>
  <conditionalFormatting sqref="I97:J97">
    <cfRule type="containsBlanks" dxfId="91" priority="183">
      <formula>LEN(TRIM(I97))=0</formula>
    </cfRule>
  </conditionalFormatting>
  <conditionalFormatting sqref="I99:J102 I165:J168">
    <cfRule type="containsBlanks" dxfId="90" priority="260">
      <formula>LEN(TRIM(I99))=0</formula>
    </cfRule>
  </conditionalFormatting>
  <conditionalFormatting sqref="I106:J107">
    <cfRule type="containsBlanks" dxfId="89" priority="3">
      <formula>LEN(TRIM(I106))=0</formula>
    </cfRule>
  </conditionalFormatting>
  <conditionalFormatting sqref="I109:J115">
    <cfRule type="containsBlanks" dxfId="88" priority="2">
      <formula>LEN(TRIM(I109))=0</formula>
    </cfRule>
  </conditionalFormatting>
  <conditionalFormatting sqref="I158:J163">
    <cfRule type="containsBlanks" dxfId="87" priority="261">
      <formula>LEN(TRIM(I158))=0</formula>
    </cfRule>
  </conditionalFormatting>
  <conditionalFormatting sqref="I176:J182">
    <cfRule type="containsBlanks" dxfId="86" priority="259">
      <formula>LEN(TRIM(I176))=0</formula>
    </cfRule>
  </conditionalFormatting>
  <conditionalFormatting sqref="I184:J193">
    <cfRule type="containsBlanks" dxfId="85" priority="258">
      <formula>LEN(TRIM(I184))=0</formula>
    </cfRule>
  </conditionalFormatting>
  <conditionalFormatting sqref="I197:J198">
    <cfRule type="containsBlanks" dxfId="84" priority="257">
      <formula>LEN(TRIM(I197))=0</formula>
    </cfRule>
  </conditionalFormatting>
  <conditionalFormatting sqref="I229:J229">
    <cfRule type="containsBlanks" dxfId="83" priority="175">
      <formula>LEN(TRIM(I229))=0</formula>
    </cfRule>
  </conditionalFormatting>
  <conditionalFormatting sqref="I231:J231">
    <cfRule type="containsBlanks" dxfId="82" priority="172">
      <formula>LEN(TRIM(I231))=0</formula>
    </cfRule>
  </conditionalFormatting>
  <conditionalFormatting sqref="I235:J235">
    <cfRule type="containsBlanks" dxfId="81" priority="252">
      <formula>LEN(TRIM(I235))=0</formula>
    </cfRule>
  </conditionalFormatting>
  <conditionalFormatting sqref="I237:J237">
    <cfRule type="containsBlanks" dxfId="80" priority="251">
      <formula>LEN(TRIM(I237))=0</formula>
    </cfRule>
  </conditionalFormatting>
  <conditionalFormatting sqref="I241:J248">
    <cfRule type="containsBlanks" dxfId="79" priority="169">
      <formula>LEN(TRIM(I241))=0</formula>
    </cfRule>
  </conditionalFormatting>
  <conditionalFormatting sqref="I272:J273">
    <cfRule type="containsBlanks" dxfId="78" priority="200">
      <formula>LEN(TRIM(I272))=0</formula>
    </cfRule>
  </conditionalFormatting>
  <conditionalFormatting sqref="I275:J275">
    <cfRule type="containsBlanks" dxfId="77" priority="249">
      <formula>LEN(TRIM(I275))=0</formula>
    </cfRule>
  </conditionalFormatting>
  <conditionalFormatting sqref="I279:J279">
    <cfRule type="containsBlanks" dxfId="76" priority="203">
      <formula>LEN(TRIM(I279))=0</formula>
    </cfRule>
  </conditionalFormatting>
  <conditionalFormatting sqref="I281:J281">
    <cfRule type="containsBlanks" dxfId="75" priority="201">
      <formula>LEN(TRIM(I281))=0</formula>
    </cfRule>
  </conditionalFormatting>
  <conditionalFormatting sqref="I285:J286">
    <cfRule type="containsBlanks" dxfId="74" priority="159">
      <formula>LEN(TRIM(I285))=0</formula>
    </cfRule>
  </conditionalFormatting>
  <conditionalFormatting sqref="I288:J291">
    <cfRule type="containsBlanks" dxfId="73" priority="14">
      <formula>LEN(TRIM(I288))=0</formula>
    </cfRule>
  </conditionalFormatting>
  <conditionalFormatting sqref="I296:J296">
    <cfRule type="containsBlanks" dxfId="72" priority="248">
      <formula>LEN(TRIM(I296))=0</formula>
    </cfRule>
  </conditionalFormatting>
  <conditionalFormatting sqref="I298:J298">
    <cfRule type="containsBlanks" dxfId="71" priority="247">
      <formula>LEN(TRIM(I298))=0</formula>
    </cfRule>
  </conditionalFormatting>
  <conditionalFormatting sqref="I302:J302">
    <cfRule type="containsBlanks" dxfId="70" priority="246">
      <formula>LEN(TRIM(I302))=0</formula>
    </cfRule>
  </conditionalFormatting>
  <conditionalFormatting sqref="I304:J304">
    <cfRule type="containsBlanks" dxfId="69" priority="245">
      <formula>LEN(TRIM(I304))=0</formula>
    </cfRule>
  </conditionalFormatting>
  <conditionalFormatting sqref="I308:J310">
    <cfRule type="containsBlanks" dxfId="68" priority="150">
      <formula>LEN(TRIM(I308))=0</formula>
    </cfRule>
  </conditionalFormatting>
  <conditionalFormatting sqref="I319:J319">
    <cfRule type="containsBlanks" dxfId="67" priority="196">
      <formula>LEN(TRIM(I319))=0</formula>
    </cfRule>
  </conditionalFormatting>
  <conditionalFormatting sqref="I321:J321">
    <cfRule type="containsBlanks" dxfId="66" priority="7">
      <formula>LEN(TRIM(I321))=0</formula>
    </cfRule>
  </conditionalFormatting>
  <conditionalFormatting sqref="I325:J325">
    <cfRule type="containsBlanks" dxfId="65" priority="37">
      <formula>LEN(TRIM(I325))=0</formula>
    </cfRule>
  </conditionalFormatting>
  <conditionalFormatting sqref="I327:J330">
    <cfRule type="containsBlanks" dxfId="64" priority="13">
      <formula>LEN(TRIM(I327))=0</formula>
    </cfRule>
  </conditionalFormatting>
  <conditionalFormatting sqref="I335:J335">
    <cfRule type="containsBlanks" dxfId="63" priority="128">
      <formula>LEN(TRIM(I335))=0</formula>
    </cfRule>
  </conditionalFormatting>
  <conditionalFormatting sqref="I337:J337">
    <cfRule type="containsBlanks" dxfId="62" priority="234">
      <formula>LEN(TRIM(I337))=0</formula>
    </cfRule>
  </conditionalFormatting>
  <conditionalFormatting sqref="I341:J343">
    <cfRule type="containsBlanks" dxfId="61" priority="131">
      <formula>LEN(TRIM(I341))=0</formula>
    </cfRule>
  </conditionalFormatting>
  <conditionalFormatting sqref="I345:J345">
    <cfRule type="containsBlanks" dxfId="60" priority="232">
      <formula>LEN(TRIM(I345))=0</formula>
    </cfRule>
  </conditionalFormatting>
  <conditionalFormatting sqref="I349:J352">
    <cfRule type="containsBlanks" dxfId="59" priority="123">
      <formula>LEN(TRIM(I349))=0</formula>
    </cfRule>
  </conditionalFormatting>
  <conditionalFormatting sqref="I370:J371 I373:J380">
    <cfRule type="containsBlanks" dxfId="58" priority="104">
      <formula>LEN(TRIM(I370))=0</formula>
    </cfRule>
  </conditionalFormatting>
  <conditionalFormatting sqref="I370:J392">
    <cfRule type="cellIs" dxfId="57" priority="103" operator="equal">
      <formula>0</formula>
    </cfRule>
  </conditionalFormatting>
  <conditionalFormatting sqref="I384:J384">
    <cfRule type="containsBlanks" dxfId="56" priority="90">
      <formula>LEN(TRIM(I384))=0</formula>
    </cfRule>
  </conditionalFormatting>
  <conditionalFormatting sqref="I386:J386">
    <cfRule type="containsBlanks" dxfId="55" priority="83">
      <formula>LEN(TRIM(I386))=0</formula>
    </cfRule>
  </conditionalFormatting>
  <conditionalFormatting sqref="I390:J390">
    <cfRule type="containsBlanks" dxfId="54" priority="94">
      <formula>LEN(TRIM(I390))=0</formula>
    </cfRule>
  </conditionalFormatting>
  <conditionalFormatting sqref="I392:J392">
    <cfRule type="containsBlanks" dxfId="53" priority="85">
      <formula>LEN(TRIM(I392))=0</formula>
    </cfRule>
  </conditionalFormatting>
  <conditionalFormatting sqref="I397:J399">
    <cfRule type="containsBlanks" dxfId="52" priority="231">
      <formula>LEN(TRIM(I397))=0</formula>
    </cfRule>
  </conditionalFormatting>
  <conditionalFormatting sqref="I405:J405">
    <cfRule type="containsBlanks" dxfId="51" priority="229">
      <formula>LEN(TRIM(I405))=0</formula>
    </cfRule>
  </conditionalFormatting>
  <conditionalFormatting sqref="I407:J407">
    <cfRule type="containsBlanks" dxfId="50" priority="228">
      <formula>LEN(TRIM(I407))=0</formula>
    </cfRule>
  </conditionalFormatting>
  <conditionalFormatting sqref="J228">
    <cfRule type="cellIs" dxfId="49" priority="133" operator="equal">
      <formula>0</formula>
    </cfRule>
  </conditionalFormatting>
  <conditionalFormatting sqref="J295">
    <cfRule type="cellIs" dxfId="48" priority="132" operator="equal">
      <formula>0</formula>
    </cfRule>
  </conditionalFormatting>
  <conditionalFormatting sqref="J334">
    <cfRule type="cellIs" dxfId="47" priority="129" operator="equal">
      <formula>0</formula>
    </cfRule>
  </conditionalFormatting>
  <conditionalFormatting sqref="N1:N319 N321:N1048576">
    <cfRule type="containsText" dxfId="46" priority="74" operator="containsText" text="viga">
      <formula>NOT(ISERROR(SEARCH("viga",N1)))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E93C-9679-4502-B30F-797AFCF53930}">
  <dimension ref="A1:W51"/>
  <sheetViews>
    <sheetView topLeftCell="Q27" zoomScale="107" zoomScaleNormal="85" workbookViewId="0">
      <selection activeCell="U10" sqref="U10"/>
    </sheetView>
  </sheetViews>
  <sheetFormatPr defaultColWidth="8.90625" defaultRowHeight="9.5" outlineLevelCol="1" x14ac:dyDescent="0.2"/>
  <cols>
    <col min="1" max="1" width="49.6328125" style="136" customWidth="1"/>
    <col min="2" max="3" width="10.81640625" style="665" bestFit="1" customWidth="1"/>
    <col min="4" max="4" width="11.453125" style="665" bestFit="1" customWidth="1"/>
    <col min="5" max="5" width="8.90625" style="666"/>
    <col min="6" max="6" width="20.90625" style="136" customWidth="1"/>
    <col min="7" max="8" width="10.81640625" style="136" bestFit="1" customWidth="1"/>
    <col min="9" max="9" width="10.453125" style="136" customWidth="1"/>
    <col min="10" max="10" width="10.1796875" style="136" bestFit="1" customWidth="1"/>
    <col min="11" max="12" width="11.36328125" style="136" customWidth="1" outlineLevel="1"/>
    <col min="13" max="13" width="9.81640625" style="136" customWidth="1" outlineLevel="1"/>
    <col min="14" max="14" width="11.36328125" style="136" customWidth="1" outlineLevel="1"/>
    <col min="15" max="15" width="9.81640625" style="136" customWidth="1" outlineLevel="1"/>
    <col min="16" max="16" width="11.36328125" style="136" customWidth="1" outlineLevel="1"/>
    <col min="17" max="17" width="12.08984375" style="136" customWidth="1" outlineLevel="1"/>
    <col min="18" max="18" width="11.36328125" style="136" customWidth="1" outlineLevel="1"/>
    <col min="19" max="19" width="15.81640625" style="136" bestFit="1" customWidth="1"/>
    <col min="20" max="22" width="12.453125" style="136" customWidth="1"/>
    <col min="23" max="23" width="9" style="136" bestFit="1" customWidth="1"/>
    <col min="24" max="16384" width="8.90625" style="136"/>
  </cols>
  <sheetData>
    <row r="1" spans="1:23" x14ac:dyDescent="0.2">
      <c r="A1" s="664" t="s">
        <v>182</v>
      </c>
    </row>
    <row r="2" spans="1:23" x14ac:dyDescent="0.2">
      <c r="A2" s="664" t="s">
        <v>45</v>
      </c>
    </row>
    <row r="3" spans="1:23" x14ac:dyDescent="0.2">
      <c r="A3" s="667" t="s">
        <v>32</v>
      </c>
      <c r="F3" s="667" t="s">
        <v>31</v>
      </c>
    </row>
    <row r="4" spans="1:23" ht="29.4" customHeight="1" x14ac:dyDescent="0.2">
      <c r="A4" s="1053" t="s">
        <v>19</v>
      </c>
      <c r="B4" s="1058" t="s">
        <v>4</v>
      </c>
      <c r="C4" s="1058"/>
      <c r="D4" s="1058"/>
      <c r="F4" s="1053" t="s">
        <v>6</v>
      </c>
      <c r="G4" s="1055" t="s">
        <v>33</v>
      </c>
      <c r="H4" s="1056"/>
      <c r="I4" s="1056"/>
      <c r="J4" s="1056"/>
      <c r="K4" s="1057"/>
      <c r="L4" s="1055" t="s">
        <v>34</v>
      </c>
      <c r="M4" s="1056"/>
      <c r="N4" s="1056"/>
      <c r="O4" s="1056"/>
      <c r="P4" s="1057"/>
      <c r="Q4" s="1048" t="s">
        <v>794</v>
      </c>
      <c r="R4" s="1042" t="s">
        <v>795</v>
      </c>
      <c r="S4" s="1043"/>
      <c r="T4" s="1044"/>
      <c r="V4" s="1036" t="s">
        <v>912</v>
      </c>
      <c r="W4" s="1036"/>
    </row>
    <row r="5" spans="1:23" ht="19" x14ac:dyDescent="0.2">
      <c r="A5" s="1054"/>
      <c r="B5" s="668" t="s">
        <v>583</v>
      </c>
      <c r="C5" s="668" t="s">
        <v>595</v>
      </c>
      <c r="D5" s="668" t="s">
        <v>20</v>
      </c>
      <c r="F5" s="1054"/>
      <c r="G5" s="669" t="s">
        <v>15</v>
      </c>
      <c r="H5" s="669" t="s">
        <v>16</v>
      </c>
      <c r="I5" s="669" t="s">
        <v>17</v>
      </c>
      <c r="J5" s="669" t="s">
        <v>18</v>
      </c>
      <c r="K5" s="670" t="s">
        <v>35</v>
      </c>
      <c r="L5" s="669" t="s">
        <v>15</v>
      </c>
      <c r="M5" s="669" t="s">
        <v>16</v>
      </c>
      <c r="N5" s="669" t="s">
        <v>17</v>
      </c>
      <c r="O5" s="669" t="s">
        <v>18</v>
      </c>
      <c r="P5" s="670" t="s">
        <v>36</v>
      </c>
      <c r="Q5" s="1049"/>
      <c r="R5" s="669" t="s">
        <v>15</v>
      </c>
      <c r="S5" s="669" t="s">
        <v>17</v>
      </c>
      <c r="T5" s="670" t="s">
        <v>20</v>
      </c>
      <c r="V5" s="671" t="s">
        <v>583</v>
      </c>
      <c r="W5" s="671" t="s">
        <v>595</v>
      </c>
    </row>
    <row r="6" spans="1:23" x14ac:dyDescent="0.2">
      <c r="A6" s="1059" t="s">
        <v>30</v>
      </c>
      <c r="B6" s="1060"/>
      <c r="C6" s="1060"/>
      <c r="D6" s="1061"/>
      <c r="F6" s="672" t="s">
        <v>545</v>
      </c>
      <c r="G6" s="673">
        <f>SUMIFS(Inv!$J:$J,Inv!$A:$A,$B$5,Inv!$B:$B,G$5,Inv!$D:$D,$F6)</f>
        <v>53000</v>
      </c>
      <c r="H6" s="673">
        <f>SUMIFS(Inv!$J:$J,Inv!$A:$A,$B$5,Inv!$B:$B,H$5,Inv!$D:$D,$F6)</f>
        <v>0</v>
      </c>
      <c r="I6" s="673">
        <f>SUMIFS(Inv!$J:$J,Inv!$A:$A,$B$5,Inv!$B:$B,I$5,Inv!$D:$D,$F6)</f>
        <v>985725</v>
      </c>
      <c r="J6" s="673">
        <f>SUMIFS(Inv!$J:$J,Inv!$A:$A,$B$5,Inv!$B:$B,J$5,Inv!$D:$D,$F6)</f>
        <v>24954.999999999996</v>
      </c>
      <c r="K6" s="674">
        <f>SUM(G6:J6)</f>
        <v>1063680</v>
      </c>
      <c r="L6" s="673">
        <f>SUMIFS(Inv!$J:$J,Inv!$A:$A,$C$5,Inv!$B:$B,L$5,Inv!$D:$D,$F6)</f>
        <v>215510</v>
      </c>
      <c r="M6" s="673">
        <f>SUMIFS(Inv!$J:$J,Inv!$A:$A,$C$5,Inv!$B:$B,M$5,Inv!$D:$D,$F6)</f>
        <v>0</v>
      </c>
      <c r="N6" s="673">
        <f>SUMIFS(Inv!$J:$J,Inv!$A:$A,$C$5,Inv!$B:$B,N$5,Inv!$D:$D,$F6)</f>
        <v>3793849.9999999995</v>
      </c>
      <c r="O6" s="673">
        <f>SUMIFS(Inv!$J:$J,Inv!$A:$A,$C$5,Inv!$B:$B,O$5,Inv!$D:$D,$F6)</f>
        <v>0</v>
      </c>
      <c r="P6" s="674">
        <f>SUM(L6:O6)</f>
        <v>4009359.9999999995</v>
      </c>
      <c r="Q6" s="675">
        <f>K6+P6</f>
        <v>5073040</v>
      </c>
      <c r="R6" s="673">
        <f>SUMIFS(Inv!$J:$J,Inv!$A:$A,"era",Inv!$B:$B,R$5,Inv!$D:$D,$F6)</f>
        <v>530495</v>
      </c>
      <c r="S6" s="673">
        <f>SUMIFS(Inv!$J:$J,Inv!$A:$A,"era",Inv!$B:$B,S$5,Inv!$D:$D,$F6)</f>
        <v>1358150</v>
      </c>
      <c r="T6" s="674">
        <f t="shared" ref="T6:T13" si="0">SUM(R6:S6)</f>
        <v>1888645</v>
      </c>
      <c r="V6" s="676">
        <f>I6/I18</f>
        <v>0.31918652728312596</v>
      </c>
      <c r="W6" s="676">
        <f>N6/N18</f>
        <v>0.69318372835770714</v>
      </c>
    </row>
    <row r="7" spans="1:23" x14ac:dyDescent="0.2">
      <c r="A7" s="677" t="s">
        <v>749</v>
      </c>
      <c r="B7" s="678">
        <f>SUMIFS(Inv!$J:$J,Inv!$A:$A,B$5,Inv!$C:$C,"tehno-vesi")</f>
        <v>53000</v>
      </c>
      <c r="C7" s="678">
        <f>SUMIFS(Inv!$J:$J,Inv!$A:$A,C$5,Inv!$C:$C,"tehno-vesi")</f>
        <v>0</v>
      </c>
      <c r="D7" s="678">
        <f>B7+C7</f>
        <v>53000</v>
      </c>
      <c r="F7" s="679" t="s">
        <v>274</v>
      </c>
      <c r="G7" s="673">
        <f>SUMIFS(Inv!$J:$J,Inv!$A:$A,$B$5,Inv!$B:$B,G$5,Inv!$D:$D,$F7)</f>
        <v>312685</v>
      </c>
      <c r="H7" s="673">
        <f>SUMIFS(Inv!$J:$J,Inv!$A:$A,$B$5,Inv!$B:$B,H$5,Inv!$D:$D,$F7)</f>
        <v>0</v>
      </c>
      <c r="I7" s="673">
        <f>SUMIFS(Inv!$J:$J,Inv!$A:$A,$B$5,Inv!$B:$B,I$5,Inv!$D:$D,$F7)</f>
        <v>350635</v>
      </c>
      <c r="J7" s="673">
        <f>SUMIFS(Inv!$J:$J,Inv!$A:$A,$B$5,Inv!$B:$B,J$5,Inv!$D:$D,$F7)</f>
        <v>0</v>
      </c>
      <c r="K7" s="674">
        <f t="shared" ref="K7:K13" si="1">SUM(G7:J7)</f>
        <v>663320</v>
      </c>
      <c r="L7" s="673">
        <f>SUMIFS(Inv!$J:$J,Inv!$A:$A,$C$5,Inv!$B:$B,L$5,Inv!$D:$D,$F7)</f>
        <v>0</v>
      </c>
      <c r="M7" s="673">
        <f>SUMIFS(Inv!$J:$J,Inv!$A:$A,$C$5,Inv!$B:$B,M$5,Inv!$D:$D,$F7)</f>
        <v>0</v>
      </c>
      <c r="N7" s="673">
        <f>SUMIFS(Inv!$J:$J,Inv!$A:$A,$C$5,Inv!$B:$B,N$5,Inv!$D:$D,$F7)</f>
        <v>0</v>
      </c>
      <c r="O7" s="673">
        <f>SUMIFS(Inv!$J:$J,Inv!$A:$A,$C$5,Inv!$B:$B,O$5,Inv!$D:$D,$F7)</f>
        <v>0</v>
      </c>
      <c r="P7" s="674">
        <f t="shared" ref="P7:P13" si="2">SUM(L7:O7)</f>
        <v>0</v>
      </c>
      <c r="Q7" s="675">
        <f t="shared" ref="Q7:Q13" si="3">K7+P7</f>
        <v>663320</v>
      </c>
      <c r="R7" s="673">
        <f>SUMIFS(Inv!$J:$J,Inv!$A:$A,"era",Inv!$B:$B,R$5,Inv!$D:$D,$F7)</f>
        <v>0</v>
      </c>
      <c r="S7" s="673">
        <f>SUMIFS(Inv!$J:$J,Inv!$A:$A,"era",Inv!$B:$B,S$5,Inv!$D:$D,$F7)</f>
        <v>0</v>
      </c>
      <c r="T7" s="674">
        <f t="shared" si="0"/>
        <v>0</v>
      </c>
    </row>
    <row r="8" spans="1:23" x14ac:dyDescent="0.2">
      <c r="A8" s="677" t="s">
        <v>746</v>
      </c>
      <c r="B8" s="678">
        <f>SUMIFS(Inv!$J:$J,Inv!$A:$A,B$5,Inv!$C:$C,"PK/VTJ")</f>
        <v>208724.99999999997</v>
      </c>
      <c r="C8" s="678">
        <f>SUMIFS(Inv!$J:$J,Inv!$A:$A,C$5,Inv!$C:$C,"PK/VTJ")</f>
        <v>652740</v>
      </c>
      <c r="D8" s="678">
        <f>B8+C8</f>
        <v>861465</v>
      </c>
      <c r="F8" s="679" t="s">
        <v>750</v>
      </c>
      <c r="G8" s="673">
        <f>SUMIFS(Inv!$J:$J,Inv!$A:$A,$B$5,Inv!$B:$B,G$5,Inv!$D:$D,$F8)</f>
        <v>5750</v>
      </c>
      <c r="H8" s="673">
        <f>SUMIFS(Inv!$J:$J,Inv!$A:$A,$B$5,Inv!$B:$B,H$5,Inv!$D:$D,$F8)</f>
        <v>0</v>
      </c>
      <c r="I8" s="673">
        <f>SUMIFS(Inv!$J:$J,Inv!$A:$A,$B$5,Inv!$B:$B,I$5,Inv!$D:$D,$F8)</f>
        <v>168475</v>
      </c>
      <c r="J8" s="673">
        <f>SUMIFS(Inv!$J:$J,Inv!$A:$A,$B$5,Inv!$B:$B,J$5,Inv!$D:$D,$F8)</f>
        <v>0</v>
      </c>
      <c r="K8" s="674">
        <f t="shared" si="1"/>
        <v>174225</v>
      </c>
      <c r="L8" s="673">
        <f>SUMIFS(Inv!$J:$J,Inv!$A:$A,$C$5,Inv!$B:$B,L$5,Inv!$D:$D,$F8)</f>
        <v>111492.49999999999</v>
      </c>
      <c r="M8" s="673">
        <f>SUMIFS(Inv!$J:$J,Inv!$A:$A,$C$5,Inv!$B:$B,M$5,Inv!$D:$D,$F8)</f>
        <v>0</v>
      </c>
      <c r="N8" s="673">
        <f>SUMIFS(Inv!$J:$J,Inv!$A:$A,$C$5,Inv!$B:$B,N$5,Inv!$D:$D,$F8)</f>
        <v>416127.5</v>
      </c>
      <c r="O8" s="673">
        <f>SUMIFS(Inv!$J:$J,Inv!$A:$A,$C$5,Inv!$B:$B,O$5,Inv!$D:$D,$F8)</f>
        <v>0</v>
      </c>
      <c r="P8" s="674">
        <f t="shared" si="2"/>
        <v>527620</v>
      </c>
      <c r="Q8" s="675">
        <f t="shared" si="3"/>
        <v>701845</v>
      </c>
      <c r="R8" s="673">
        <f>SUMIFS(Inv!$J:$J,Inv!$A:$A,"era",Inv!$B:$B,R$5,Inv!$D:$D,$F8)</f>
        <v>925519.99999999988</v>
      </c>
      <c r="S8" s="673">
        <f>SUMIFS(Inv!$J:$J,Inv!$A:$A,"era",Inv!$B:$B,S$5,Inv!$D:$D,$F8)</f>
        <v>449419.99999999994</v>
      </c>
      <c r="T8" s="674">
        <f t="shared" si="0"/>
        <v>1374939.9999999998</v>
      </c>
    </row>
    <row r="9" spans="1:23" x14ac:dyDescent="0.2">
      <c r="A9" s="677" t="s">
        <v>10</v>
      </c>
      <c r="B9" s="678">
        <f>SUMIFS(Inv!$J:$J,Inv!$A:$A,B$5,Inv!$C:$C,"VT rek")</f>
        <v>268237.5</v>
      </c>
      <c r="C9" s="678">
        <f>SUMIFS(Inv!$J:$J,Inv!$A:$A,C$5,Inv!$C:$C,"VT rek")</f>
        <v>536072.5</v>
      </c>
      <c r="D9" s="678">
        <f t="shared" ref="D9:D10" si="4">B9+C9</f>
        <v>804310</v>
      </c>
      <c r="F9" s="672" t="s">
        <v>282</v>
      </c>
      <c r="G9" s="673">
        <f>SUMIFS(Inv!$J:$J,Inv!$A:$A,$B$5,Inv!$B:$B,G$5,Inv!$D:$D,$F9)</f>
        <v>0</v>
      </c>
      <c r="H9" s="673">
        <f>SUMIFS(Inv!$J:$J,Inv!$A:$A,$B$5,Inv!$B:$B,H$5,Inv!$D:$D,$F9)</f>
        <v>0</v>
      </c>
      <c r="I9" s="673">
        <f>SUMIFS(Inv!$J:$J,Inv!$A:$A,$B$5,Inv!$B:$B,I$5,Inv!$D:$D,$F9)</f>
        <v>40250</v>
      </c>
      <c r="J9" s="673">
        <f>SUMIFS(Inv!$J:$J,Inv!$A:$A,$B$5,Inv!$B:$B,J$5,Inv!$D:$D,$F9)</f>
        <v>0</v>
      </c>
      <c r="K9" s="674">
        <f t="shared" si="1"/>
        <v>40250</v>
      </c>
      <c r="L9" s="673">
        <f>SUMIFS(Inv!$J:$J,Inv!$A:$A,$C$5,Inv!$B:$B,L$5,Inv!$D:$D,$F9)</f>
        <v>883660</v>
      </c>
      <c r="M9" s="673">
        <f>SUMIFS(Inv!$J:$J,Inv!$A:$A,$C$5,Inv!$B:$B,M$5,Inv!$D:$D,$F9)</f>
        <v>0</v>
      </c>
      <c r="N9" s="673">
        <f>SUMIFS(Inv!$J:$J,Inv!$A:$A,$C$5,Inv!$B:$B,N$5,Inv!$D:$D,$F9)</f>
        <v>857152.5</v>
      </c>
      <c r="O9" s="673">
        <f>SUMIFS(Inv!$J:$J,Inv!$A:$A,$C$5,Inv!$B:$B,O$5,Inv!$D:$D,$F9)</f>
        <v>0</v>
      </c>
      <c r="P9" s="674">
        <f t="shared" si="2"/>
        <v>1740812.5</v>
      </c>
      <c r="Q9" s="675">
        <f t="shared" si="3"/>
        <v>1781062.5</v>
      </c>
      <c r="R9" s="673">
        <f>SUMIFS(Inv!$J:$J,Inv!$A:$A,"era",Inv!$B:$B,R$5,Inv!$D:$D,$F9)</f>
        <v>0</v>
      </c>
      <c r="S9" s="673">
        <f>SUMIFS(Inv!$J:$J,Inv!$A:$A,"era",Inv!$B:$B,S$5,Inv!$D:$D,$F9)</f>
        <v>0</v>
      </c>
      <c r="T9" s="674">
        <f t="shared" si="0"/>
        <v>0</v>
      </c>
    </row>
    <row r="10" spans="1:23" x14ac:dyDescent="0.2">
      <c r="A10" s="677" t="s">
        <v>747</v>
      </c>
      <c r="B10" s="678">
        <f>SUMIFS(Inv!$J:$J,Inv!$A:$A,B$5,Inv!$C:$C,"VT raj")</f>
        <v>532910</v>
      </c>
      <c r="C10" s="678">
        <f>SUMIFS(Inv!$J:$J,Inv!$A:$A,C$5,Inv!$C:$C,"VT raj")</f>
        <v>206425</v>
      </c>
      <c r="D10" s="678">
        <f t="shared" si="4"/>
        <v>739335</v>
      </c>
      <c r="F10" s="672" t="s">
        <v>434</v>
      </c>
      <c r="G10" s="673">
        <f>SUMIFS(Inv!$J:$J,Inv!$A:$A,$B$5,Inv!$B:$B,G$5,Inv!$D:$D,$F10)</f>
        <v>591502.5</v>
      </c>
      <c r="H10" s="673">
        <f>SUMIFS(Inv!$J:$J,Inv!$A:$A,$B$5,Inv!$B:$B,H$5,Inv!$D:$D,$F10)</f>
        <v>0</v>
      </c>
      <c r="I10" s="673">
        <f>SUMIFS(Inv!$J:$J,Inv!$A:$A,$B$5,Inv!$B:$B,I$5,Inv!$D:$D,$F10)</f>
        <v>985780</v>
      </c>
      <c r="J10" s="673">
        <f>SUMIFS(Inv!$J:$J,Inv!$A:$A,$B$5,Inv!$B:$B,J$5,Inv!$D:$D,$F10)</f>
        <v>15000</v>
      </c>
      <c r="K10" s="674">
        <f t="shared" si="1"/>
        <v>1592282.5</v>
      </c>
      <c r="L10" s="673">
        <f>SUMIFS(Inv!$J:$J,Inv!$A:$A,$C$5,Inv!$B:$B,L$5,Inv!$D:$D,$F10)</f>
        <v>91942.5</v>
      </c>
      <c r="M10" s="673">
        <f>SUMIFS(Inv!$J:$J,Inv!$A:$A,$C$5,Inv!$B:$B,M$5,Inv!$D:$D,$F10)</f>
        <v>0</v>
      </c>
      <c r="N10" s="673">
        <f>SUMIFS(Inv!$J:$J,Inv!$A:$A,$C$5,Inv!$B:$B,N$5,Inv!$D:$D,$F10)</f>
        <v>0</v>
      </c>
      <c r="O10" s="673">
        <f>SUMIFS(Inv!$J:$J,Inv!$A:$A,$C$5,Inv!$B:$B,O$5,Inv!$D:$D,$F10)</f>
        <v>0</v>
      </c>
      <c r="P10" s="674">
        <f t="shared" si="2"/>
        <v>91942.5</v>
      </c>
      <c r="Q10" s="675">
        <f t="shared" si="3"/>
        <v>1684225</v>
      </c>
      <c r="R10" s="673">
        <f>SUMIFS(Inv!$J:$J,Inv!$A:$A,"era",Inv!$B:$B,R$5,Inv!$D:$D,$F10)</f>
        <v>835820</v>
      </c>
      <c r="S10" s="673">
        <f>SUMIFS(Inv!$J:$J,Inv!$A:$A,"era",Inv!$B:$B,S$5,Inv!$D:$D,$F10)</f>
        <v>851057.5</v>
      </c>
      <c r="T10" s="674">
        <f t="shared" si="0"/>
        <v>1686877.5</v>
      </c>
    </row>
    <row r="11" spans="1:23" x14ac:dyDescent="0.2">
      <c r="A11" s="680" t="s">
        <v>22</v>
      </c>
      <c r="B11" s="681">
        <f>SUM(B7:B10)</f>
        <v>1062872.5</v>
      </c>
      <c r="C11" s="681">
        <f>SUM(C7:C10)</f>
        <v>1395237.5</v>
      </c>
      <c r="D11" s="681">
        <f>B11+C11</f>
        <v>2458110</v>
      </c>
      <c r="F11" s="672" t="s">
        <v>433</v>
      </c>
      <c r="G11" s="673">
        <f>SUMIFS(Inv!$J:$J,Inv!$A:$A,$B$5,Inv!$B:$B,G$5,Inv!$D:$D,$F11)</f>
        <v>0</v>
      </c>
      <c r="H11" s="673">
        <f>SUMIFS(Inv!$J:$J,Inv!$A:$A,$B$5,Inv!$B:$B,H$5,Inv!$D:$D,$F11)</f>
        <v>0</v>
      </c>
      <c r="I11" s="673">
        <f>SUMIFS(Inv!$J:$J,Inv!$A:$A,$B$5,Inv!$B:$B,I$5,Inv!$D:$D,$F11)</f>
        <v>0</v>
      </c>
      <c r="J11" s="673">
        <f>SUMIFS(Inv!$J:$J,Inv!$A:$A,$B$5,Inv!$B:$B,J$5,Inv!$D:$D,$F11)</f>
        <v>0</v>
      </c>
      <c r="K11" s="674">
        <f t="shared" si="1"/>
        <v>0</v>
      </c>
      <c r="L11" s="673">
        <f>SUMIFS(Inv!$J:$J,Inv!$A:$A,$C$5,Inv!$B:$B,L$5,Inv!$D:$D,$F11)</f>
        <v>0</v>
      </c>
      <c r="M11" s="673">
        <f>SUMIFS(Inv!$J:$J,Inv!$A:$A,$C$5,Inv!$B:$B,M$5,Inv!$D:$D,$F11)</f>
        <v>0</v>
      </c>
      <c r="N11" s="673">
        <f>SUMIFS(Inv!$J:$J,Inv!$A:$A,$C$5,Inv!$B:$B,N$5,Inv!$D:$D,$F11)</f>
        <v>0</v>
      </c>
      <c r="O11" s="673">
        <f>SUMIFS(Inv!$J:$J,Inv!$A:$A,$C$5,Inv!$B:$B,O$5,Inv!$D:$D,$F11)</f>
        <v>0</v>
      </c>
      <c r="P11" s="674">
        <f t="shared" si="2"/>
        <v>0</v>
      </c>
      <c r="Q11" s="675">
        <f t="shared" si="3"/>
        <v>0</v>
      </c>
      <c r="R11" s="673">
        <f>SUMIFS(Inv!$J:$J,Inv!$A:$A,"era",Inv!$B:$B,R$5,Inv!$D:$D,$F11)</f>
        <v>1192320</v>
      </c>
      <c r="S11" s="673">
        <f>SUMIFS(Inv!$J:$J,Inv!$A:$A,"era",Inv!$B:$B,S$5,Inv!$D:$D,$F11)</f>
        <v>2205297.5</v>
      </c>
      <c r="T11" s="674">
        <f t="shared" si="0"/>
        <v>3397617.5</v>
      </c>
    </row>
    <row r="12" spans="1:23" x14ac:dyDescent="0.2">
      <c r="A12" s="1050" t="s">
        <v>27</v>
      </c>
      <c r="B12" s="1051"/>
      <c r="C12" s="1051"/>
      <c r="D12" s="1052"/>
      <c r="F12" s="672" t="s">
        <v>483</v>
      </c>
      <c r="G12" s="673">
        <f>SUMIFS(Inv!$J:$J,Inv!$A:$A,$B$5,Inv!$B:$B,G$5,Inv!$D:$D,$F12)</f>
        <v>0</v>
      </c>
      <c r="H12" s="673">
        <f>SUMIFS(Inv!$J:$J,Inv!$A:$A,$B$5,Inv!$B:$B,H$5,Inv!$D:$D,$F12)</f>
        <v>59799.999999999993</v>
      </c>
      <c r="I12" s="673">
        <f>SUMIFS(Inv!$J:$J,Inv!$A:$A,$B$5,Inv!$B:$B,I$5,Inv!$D:$D,$F12)</f>
        <v>0</v>
      </c>
      <c r="J12" s="673">
        <f>SUMIFS(Inv!$J:$J,Inv!$A:$A,$B$5,Inv!$B:$B,J$5,Inv!$D:$D,$F12)</f>
        <v>0</v>
      </c>
      <c r="K12" s="674">
        <f t="shared" si="1"/>
        <v>59799.999999999993</v>
      </c>
      <c r="L12" s="673">
        <f>SUMIFS(Inv!$J:$J,Inv!$A:$A,$C$5,Inv!$B:$B,L$5,Inv!$D:$D,$F12)</f>
        <v>0</v>
      </c>
      <c r="M12" s="673">
        <f>SUMIFS(Inv!$J:$J,Inv!$A:$A,$C$5,Inv!$B:$B,M$5,Inv!$D:$D,$F12)</f>
        <v>0</v>
      </c>
      <c r="N12" s="673">
        <f>SUMIFS(Inv!$J:$J,Inv!$A:$A,$C$5,Inv!$B:$B,N$5,Inv!$D:$D,$F12)</f>
        <v>0</v>
      </c>
      <c r="O12" s="673">
        <f>SUMIFS(Inv!$J:$J,Inv!$A:$A,$C$5,Inv!$B:$B,O$5,Inv!$D:$D,$F12)</f>
        <v>0</v>
      </c>
      <c r="P12" s="674">
        <f t="shared" si="2"/>
        <v>0</v>
      </c>
      <c r="Q12" s="675">
        <f t="shared" si="3"/>
        <v>59799.999999999993</v>
      </c>
      <c r="R12" s="673">
        <f>SUMIFS(Inv!$J:$J,Inv!$A:$A,"era",Inv!$B:$B,R$5,Inv!$D:$D,$F12)</f>
        <v>655729.99999999988</v>
      </c>
      <c r="S12" s="673">
        <f>SUMIFS(Inv!$J:$J,Inv!$A:$A,"era",Inv!$B:$B,S$5,Inv!$D:$D,$F12)</f>
        <v>898609.99999999988</v>
      </c>
      <c r="T12" s="674">
        <f t="shared" si="0"/>
        <v>1554339.9999999998</v>
      </c>
    </row>
    <row r="13" spans="1:23" ht="19" x14ac:dyDescent="0.2">
      <c r="A13" s="677" t="s">
        <v>948</v>
      </c>
      <c r="B13" s="678">
        <f>SUMIFS(Inv!$J:$J,Inv!$A:$A,B$5,Inv!$C:$C,"TTV")</f>
        <v>86250</v>
      </c>
      <c r="C13" s="678">
        <f>SUMIFS(Inv!$J:$J,Inv!$A:$A,C$5,Inv!$C:$C,"TTV")</f>
        <v>32199.999999999996</v>
      </c>
      <c r="D13" s="678">
        <f>B13+C13</f>
        <v>118450</v>
      </c>
      <c r="F13" s="672" t="s">
        <v>484</v>
      </c>
      <c r="G13" s="673">
        <f>SUMIFS(Inv!$J:$J,Inv!$A:$A,$B$5,Inv!$B:$B,G$5,Inv!$D:$D,$F13)</f>
        <v>0</v>
      </c>
      <c r="H13" s="673">
        <f>SUMIFS(Inv!$J:$J,Inv!$A:$A,$B$5,Inv!$B:$B,H$5,Inv!$D:$D,$F13)</f>
        <v>0</v>
      </c>
      <c r="I13" s="673">
        <f>SUMIFS(Inv!$J:$J,Inv!$A:$A,$B$5,Inv!$B:$B,I$5,Inv!$D:$D,$F13)</f>
        <v>0</v>
      </c>
      <c r="J13" s="673">
        <f>SUMIFS(Inv!$J:$J,Inv!$A:$A,$B$5,Inv!$B:$B,J$5,Inv!$D:$D,$F13)</f>
        <v>0</v>
      </c>
      <c r="K13" s="674">
        <f t="shared" si="1"/>
        <v>0</v>
      </c>
      <c r="L13" s="673">
        <f>SUMIFS(Inv!$J:$J,Inv!$A:$A,$C$5,Inv!$B:$B,L$5,Inv!$D:$D,$F13)</f>
        <v>0</v>
      </c>
      <c r="M13" s="673">
        <f>SUMIFS(Inv!$J:$J,Inv!$A:$A,$C$5,Inv!$B:$B,M$5,Inv!$D:$D,$F13)</f>
        <v>0</v>
      </c>
      <c r="N13" s="673">
        <f>SUMIFS(Inv!$J:$J,Inv!$A:$A,$C$5,Inv!$B:$B,N$5,Inv!$D:$D,$F13)</f>
        <v>0</v>
      </c>
      <c r="O13" s="673">
        <f>SUMIFS(Inv!$J:$J,Inv!$A:$A,$C$5,Inv!$B:$B,O$5,Inv!$D:$D,$F13)</f>
        <v>0</v>
      </c>
      <c r="P13" s="674">
        <f t="shared" si="2"/>
        <v>0</v>
      </c>
      <c r="Q13" s="675">
        <f t="shared" si="3"/>
        <v>0</v>
      </c>
      <c r="R13" s="673">
        <f>SUMIFS(Inv!$J:$J,Inv!$A:$A,"era",Inv!$B:$B,R$5,Inv!$D:$D,$F13)</f>
        <v>667344.99999999988</v>
      </c>
      <c r="S13" s="673">
        <f>SUMIFS(Inv!$J:$J,Inv!$A:$A,"era",Inv!$B:$B,S$5,Inv!$D:$D,$F13)</f>
        <v>625024.99999999988</v>
      </c>
      <c r="T13" s="674">
        <f t="shared" si="0"/>
        <v>1292369.9999999998</v>
      </c>
    </row>
    <row r="14" spans="1:23" x14ac:dyDescent="0.2">
      <c r="A14" s="677" t="s">
        <v>791</v>
      </c>
      <c r="B14" s="678">
        <f>SUMIFS(Inv!$J:$J,Inv!$A:$A,B$5,Inv!$C:$C,"veevõtukoht")</f>
        <v>59799.999999999993</v>
      </c>
      <c r="C14" s="678">
        <f>SUMIFS(Inv!$J:$J,Inv!$A:$A,C$5,Inv!$C:$C,"veevõtukoht")</f>
        <v>0</v>
      </c>
      <c r="D14" s="678">
        <f>B14+C14</f>
        <v>59799.999999999993</v>
      </c>
      <c r="F14" s="672" t="s">
        <v>437</v>
      </c>
      <c r="G14" s="673">
        <f>SUMIFS(Inv!$J:$J,Inv!$A:$A,$B$5,Inv!$B:$B,G$5,Inv!$D:$D,$F14)</f>
        <v>17250</v>
      </c>
      <c r="H14" s="673">
        <f>SUMIFS(Inv!$J:$J,Inv!$A:$A,$B$5,Inv!$B:$B,H$5,Inv!$D:$D,$F14)</f>
        <v>0</v>
      </c>
      <c r="I14" s="673">
        <f>SUMIFS(Inv!$J:$J,Inv!$A:$A,$B$5,Inv!$B:$B,I$5,Inv!$D:$D,$F14)</f>
        <v>11500</v>
      </c>
      <c r="J14" s="673">
        <f>SUMIFS(Inv!$J:$J,Inv!$A:$A,$B$5,Inv!$B:$B,J$5,Inv!$D:$D,$F14)</f>
        <v>0</v>
      </c>
      <c r="K14" s="674">
        <f>SUM(G14:J14)</f>
        <v>28750</v>
      </c>
      <c r="L14" s="673">
        <f>SUMIFS(Inv!$J:$J,Inv!$A:$A,$C$5,Inv!$B:$B,L$5,Inv!$D:$D,$F14)</f>
        <v>5750</v>
      </c>
      <c r="M14" s="673">
        <f>SUMIFS(Inv!$J:$J,Inv!$A:$A,$C$5,Inv!$B:$B,M$5,Inv!$D:$D,$F14)</f>
        <v>0</v>
      </c>
      <c r="N14" s="673">
        <f>SUMIFS(Inv!$J:$J,Inv!$A:$A,$C$5,Inv!$B:$B,N$5,Inv!$D:$D,$F14)</f>
        <v>405949.99999999994</v>
      </c>
      <c r="O14" s="673">
        <f>SUMIFS(Inv!$J:$J,Inv!$A:$A,$C$5,Inv!$B:$B,O$5,Inv!$D:$D,$F14)</f>
        <v>0</v>
      </c>
      <c r="P14" s="674">
        <f>SUM(L14:O14)</f>
        <v>411699.99999999994</v>
      </c>
      <c r="Q14" s="675">
        <f>K14+P14</f>
        <v>440449.99999999994</v>
      </c>
      <c r="R14" s="673">
        <f>SUMIFS(Inv!$J:$J,Inv!$A:$A,"era",Inv!$B:$B,R$5,Inv!$D:$D,$F14)</f>
        <v>0</v>
      </c>
      <c r="S14" s="673">
        <f>SUMIFS(Inv!$J:$J,Inv!$A:$A,"era",Inv!$B:$B,S$5,Inv!$D:$D,$F14)</f>
        <v>0</v>
      </c>
      <c r="T14" s="674">
        <f>SUM(R14:S14)</f>
        <v>0</v>
      </c>
    </row>
    <row r="15" spans="1:23" x14ac:dyDescent="0.2">
      <c r="A15" s="680" t="s">
        <v>26</v>
      </c>
      <c r="B15" s="681">
        <f>SUM(B13:B14)</f>
        <v>146050</v>
      </c>
      <c r="C15" s="681">
        <f>SUM(C13:C14)</f>
        <v>32199.999999999996</v>
      </c>
      <c r="D15" s="681">
        <f>B15+C15</f>
        <v>178250</v>
      </c>
      <c r="F15" s="672" t="s">
        <v>435</v>
      </c>
      <c r="G15" s="673">
        <f>SUMIFS(Inv!$J:$J,Inv!$A:$A,$B$5,Inv!$B:$B,G$5,Inv!$D:$D,$F15)</f>
        <v>0</v>
      </c>
      <c r="H15" s="673">
        <f>SUMIFS(Inv!$J:$J,Inv!$A:$A,$B$5,Inv!$B:$B,H$5,Inv!$D:$D,$F15)</f>
        <v>0</v>
      </c>
      <c r="I15" s="673">
        <f>SUMIFS(Inv!$J:$J,Inv!$A:$A,$B$5,Inv!$B:$B,I$5,Inv!$D:$D,$F15)</f>
        <v>0</v>
      </c>
      <c r="J15" s="673">
        <f>SUMIFS(Inv!$J:$J,Inv!$A:$A,$B$5,Inv!$B:$B,J$5,Inv!$D:$D,$F15)</f>
        <v>0</v>
      </c>
      <c r="K15" s="674">
        <f>SUM(G15:J15)</f>
        <v>0</v>
      </c>
      <c r="L15" s="673">
        <f>SUMIFS(Inv!$J:$J,Inv!$A:$A,$C$5,Inv!$B:$B,L$5,Inv!$D:$D,$F15)</f>
        <v>78832.5</v>
      </c>
      <c r="M15" s="673">
        <f>SUMIFS(Inv!$J:$J,Inv!$A:$A,$C$5,Inv!$B:$B,M$5,Inv!$D:$D,$F15)</f>
        <v>0</v>
      </c>
      <c r="N15" s="673">
        <f>SUMIFS(Inv!$J:$J,Inv!$A:$A,$C$5,Inv!$B:$B,N$5,Inv!$D:$D,$F15)</f>
        <v>0</v>
      </c>
      <c r="O15" s="673">
        <f>SUMIFS(Inv!$J:$J,Inv!$A:$A,$C$5,Inv!$B:$B,O$5,Inv!$D:$D,$F15)</f>
        <v>0</v>
      </c>
      <c r="P15" s="674">
        <f>SUM(L15:O15)</f>
        <v>78832.5</v>
      </c>
      <c r="Q15" s="675">
        <f>K15+P15</f>
        <v>78832.5</v>
      </c>
      <c r="R15" s="673">
        <f>SUMIFS(Inv!$J:$J,Inv!$A:$A,"era",Inv!$B:$B,R$5,Inv!$D:$D,$F15)</f>
        <v>1802740</v>
      </c>
      <c r="S15" s="673">
        <f>SUMIFS(Inv!$J:$J,Inv!$A:$A,"era",Inv!$B:$B,S$5,Inv!$D:$D,$F15)</f>
        <v>4413412.5</v>
      </c>
      <c r="T15" s="674">
        <f>SUM(R15:S15)</f>
        <v>6216152.5</v>
      </c>
    </row>
    <row r="16" spans="1:23" x14ac:dyDescent="0.2">
      <c r="A16" s="682" t="s">
        <v>28</v>
      </c>
      <c r="B16" s="683">
        <f>B11+B15</f>
        <v>1208922.5</v>
      </c>
      <c r="C16" s="683">
        <f>C11+C15</f>
        <v>1427437.5</v>
      </c>
      <c r="D16" s="683">
        <f>B16+C16</f>
        <v>2636360</v>
      </c>
      <c r="E16" s="666" t="str">
        <f>IF(D16=Inv!J5+Inv!J8,"OK","VIGA")</f>
        <v>OK</v>
      </c>
      <c r="F16" s="672" t="s">
        <v>289</v>
      </c>
      <c r="G16" s="673">
        <f>SUMIFS(Inv!$J:$J,Inv!$A:$A,$B$5,Inv!$B:$B,G$5,Inv!$D:$D,$F16)</f>
        <v>91827.5</v>
      </c>
      <c r="H16" s="673">
        <f>SUMIFS(Inv!$J:$J,Inv!$A:$A,$B$5,Inv!$B:$B,H$5,Inv!$D:$D,$F16)</f>
        <v>0</v>
      </c>
      <c r="I16" s="673">
        <f>SUMIFS(Inv!$J:$J,Inv!$A:$A,$B$5,Inv!$B:$B,I$5,Inv!$D:$D,$F16)</f>
        <v>545876.25</v>
      </c>
      <c r="J16" s="673">
        <f>SUMIFS(Inv!$J:$J,Inv!$A:$A,$B$5,Inv!$B:$B,J$5,Inv!$D:$D,$F16)</f>
        <v>0</v>
      </c>
      <c r="K16" s="674">
        <f>SUM(G16:J16)</f>
        <v>637703.75</v>
      </c>
      <c r="L16" s="673">
        <f>SUMIFS(Inv!$J:$J,Inv!$A:$A,$C$5,Inv!$B:$B,L$5,Inv!$D:$D,$F16)</f>
        <v>40250</v>
      </c>
      <c r="M16" s="673">
        <f>SUMIFS(Inv!$J:$J,Inv!$A:$A,$C$5,Inv!$B:$B,M$5,Inv!$D:$D,$F16)</f>
        <v>0</v>
      </c>
      <c r="N16" s="673">
        <f>SUMIFS(Inv!$J:$J,Inv!$A:$A,$C$5,Inv!$B:$B,N$5,Inv!$D:$D,$F16)</f>
        <v>0</v>
      </c>
      <c r="O16" s="673">
        <f>SUMIFS(Inv!$J:$J,Inv!$A:$A,$C$5,Inv!$B:$B,O$5,Inv!$D:$D,$F16)</f>
        <v>0</v>
      </c>
      <c r="P16" s="674">
        <f>SUM(L16:O16)</f>
        <v>40250</v>
      </c>
      <c r="Q16" s="675">
        <f>K16+P16</f>
        <v>677953.75</v>
      </c>
      <c r="R16" s="673">
        <f>SUMIFS(Inv!$J:$J,Inv!$A:$A,"era",Inv!$B:$B,R$5,Inv!$D:$D,$F16)</f>
        <v>0</v>
      </c>
      <c r="S16" s="673">
        <f>SUMIFS(Inv!$J:$J,Inv!$A:$A,"era",Inv!$B:$B,S$5,Inv!$D:$D,$F16)</f>
        <v>224479.99999999997</v>
      </c>
      <c r="T16" s="674">
        <f>SUM(R16:S16)</f>
        <v>224479.99999999997</v>
      </c>
    </row>
    <row r="17" spans="1:22" x14ac:dyDescent="0.2">
      <c r="A17" s="1050" t="s">
        <v>40</v>
      </c>
      <c r="B17" s="1051"/>
      <c r="C17" s="1051"/>
      <c r="D17" s="1052"/>
      <c r="F17" s="672" t="s">
        <v>486</v>
      </c>
      <c r="G17" s="673">
        <f>SUMIFS(Inv!$J:$J,Inv!$A:$A,$B$5,Inv!$B:$B,G$5,Inv!$D:$D,$F17)</f>
        <v>77107.5</v>
      </c>
      <c r="H17" s="673">
        <f>SUMIFS(Inv!$J:$J,Inv!$A:$A,$B$5,Inv!$B:$B,H$5,Inv!$D:$D,$F17)</f>
        <v>0</v>
      </c>
      <c r="I17" s="673">
        <f>SUMIFS(Inv!$J:$J,Inv!$A:$A,$B$5,Inv!$B:$B,I$5,Inv!$D:$D,$F17)</f>
        <v>0</v>
      </c>
      <c r="J17" s="673">
        <f>SUMIFS(Inv!$J:$J,Inv!$A:$A,$B$5,Inv!$B:$B,J$5,Inv!$D:$D,$F17)</f>
        <v>0</v>
      </c>
      <c r="K17" s="674">
        <f>SUM(G17:J17)</f>
        <v>77107.5</v>
      </c>
      <c r="L17" s="673">
        <f>SUMIFS(Inv!$J:$J,Inv!$A:$A,$C$5,Inv!$B:$B,L$5,Inv!$D:$D,$F17)</f>
        <v>0</v>
      </c>
      <c r="M17" s="673">
        <f>SUMIFS(Inv!$J:$J,Inv!$A:$A,$C$5,Inv!$B:$B,M$5,Inv!$D:$D,$F17)</f>
        <v>0</v>
      </c>
      <c r="N17" s="673">
        <f>SUMIFS(Inv!$J:$J,Inv!$A:$A,$C$5,Inv!$B:$B,N$5,Inv!$D:$D,$F17)</f>
        <v>0</v>
      </c>
      <c r="O17" s="673">
        <f>SUMIFS(Inv!$J:$J,Inv!$A:$A,$C$5,Inv!$B:$B,O$5,Inv!$D:$D,$F17)</f>
        <v>0</v>
      </c>
      <c r="P17" s="674">
        <f>SUM(L17:O17)</f>
        <v>0</v>
      </c>
      <c r="Q17" s="675">
        <f>K17+P17</f>
        <v>77107.5</v>
      </c>
      <c r="R17" s="673">
        <f>SUMIFS(Inv!$J:$J,Inv!$A:$A,"era",Inv!$B:$B,R$5,Inv!$D:$D,$F17)</f>
        <v>0</v>
      </c>
      <c r="S17" s="673">
        <f>SUMIFS(Inv!$J:$J,Inv!$A:$A,"era",Inv!$B:$B,S$5,Inv!$D:$D,$F17)</f>
        <v>0</v>
      </c>
      <c r="T17" s="674">
        <f>SUM(R17:S17)</f>
        <v>0</v>
      </c>
    </row>
    <row r="18" spans="1:22" x14ac:dyDescent="0.2">
      <c r="A18" s="677" t="s">
        <v>749</v>
      </c>
      <c r="B18" s="678">
        <f>SUMIFS(Inv!$J:$J,Inv!$A:$A,B$5,Inv!$C:$C,"tehno-kanal")</f>
        <v>570000</v>
      </c>
      <c r="C18" s="678">
        <f>SUMIFS(Inv!$J:$J,Inv!$A:$A,C$5,Inv!$C:$C,"tehno-kanal")</f>
        <v>0</v>
      </c>
      <c r="D18" s="678">
        <f>B18+C18</f>
        <v>570000</v>
      </c>
      <c r="F18" s="684" t="s">
        <v>37</v>
      </c>
      <c r="G18" s="675">
        <f t="shared" ref="G18:T18" si="5">SUM(G6:G17)</f>
        <v>1149122.5</v>
      </c>
      <c r="H18" s="675">
        <f t="shared" si="5"/>
        <v>59799.999999999993</v>
      </c>
      <c r="I18" s="675">
        <f t="shared" si="5"/>
        <v>3088241.25</v>
      </c>
      <c r="J18" s="675">
        <f t="shared" si="5"/>
        <v>39955</v>
      </c>
      <c r="K18" s="675">
        <f t="shared" si="5"/>
        <v>4337118.75</v>
      </c>
      <c r="L18" s="675">
        <f t="shared" si="5"/>
        <v>1427437.5</v>
      </c>
      <c r="M18" s="675">
        <f t="shared" si="5"/>
        <v>0</v>
      </c>
      <c r="N18" s="675">
        <f t="shared" si="5"/>
        <v>5473080</v>
      </c>
      <c r="O18" s="675">
        <f t="shared" si="5"/>
        <v>0</v>
      </c>
      <c r="P18" s="675">
        <f t="shared" si="5"/>
        <v>6900517.5</v>
      </c>
      <c r="Q18" s="675">
        <f t="shared" si="5"/>
        <v>11237636.25</v>
      </c>
      <c r="R18" s="675">
        <f t="shared" si="5"/>
        <v>6609970</v>
      </c>
      <c r="S18" s="675">
        <f t="shared" si="5"/>
        <v>11025452.5</v>
      </c>
      <c r="T18" s="675">
        <f t="shared" si="5"/>
        <v>17635422.5</v>
      </c>
    </row>
    <row r="19" spans="1:22" x14ac:dyDescent="0.2">
      <c r="A19" s="677" t="s">
        <v>824</v>
      </c>
      <c r="B19" s="678">
        <f>SUMIFS(Inv!$J:$J,Inv!$A:$A,B$5,Inv!$C:$C,"RVPJ")</f>
        <v>314783.75</v>
      </c>
      <c r="C19" s="678">
        <f>SUMIFS(Inv!$J:$J,Inv!$A:$A,C$5,Inv!$C:$C,"RVPJ")</f>
        <v>405949.99999999994</v>
      </c>
      <c r="D19" s="678">
        <f>B19+C19</f>
        <v>720733.75</v>
      </c>
      <c r="G19" s="685"/>
      <c r="H19" s="685"/>
      <c r="I19" s="685"/>
      <c r="J19" s="685"/>
      <c r="K19" s="685" t="str">
        <f>IF(K18=Inv!$J$4,"OK","VIGA")</f>
        <v>OK</v>
      </c>
      <c r="L19" s="685"/>
      <c r="M19" s="685"/>
      <c r="N19" s="685"/>
      <c r="O19" s="685"/>
      <c r="P19" s="685" t="str">
        <f>IF(P18=$C$29,"OK","VIGA")</f>
        <v>OK</v>
      </c>
      <c r="Q19" s="685" t="str">
        <f>IF(Q18=Inv!$J$3,"OK","VIGA")</f>
        <v>OK</v>
      </c>
      <c r="R19" s="685" t="str">
        <f>IF(R18=Inv!$J$11,"OK","VIGA")</f>
        <v>OK</v>
      </c>
      <c r="S19" s="685" t="str">
        <f>IF(S18=Inv!$J$12,"OK","VIGA")</f>
        <v>OK</v>
      </c>
      <c r="T19" s="685" t="str">
        <f>IF(T18=Inv!$J$10,"OK","VIGA")</f>
        <v>OK</v>
      </c>
    </row>
    <row r="20" spans="1:22" x14ac:dyDescent="0.2">
      <c r="A20" s="677" t="s">
        <v>754</v>
      </c>
      <c r="B20" s="678">
        <f>SUMIFS(Inv!$J:$J,Inv!$A:$A,B$5,Inv!$C:$C,"KP")</f>
        <v>1176162.5</v>
      </c>
      <c r="C20" s="678">
        <f>SUMIFS(Inv!$J:$J,Inv!$A:$A,C$5,Inv!$C:$C,"KP")</f>
        <v>377199.99999999994</v>
      </c>
      <c r="D20" s="678">
        <f t="shared" ref="D20:D22" si="6">B20+C20</f>
        <v>1553362.5</v>
      </c>
    </row>
    <row r="21" spans="1:22" x14ac:dyDescent="0.2">
      <c r="A21" s="677" t="s">
        <v>755</v>
      </c>
      <c r="B21" s="678">
        <f>SUMIFS(Inv!$J:$J,Inv!$A:$A,B$5,Inv!$C:$C,"KT rek")</f>
        <v>113849.99999999999</v>
      </c>
      <c r="C21" s="678">
        <f>SUMIFS(Inv!$J:$J,Inv!$A:$A,C$5,Inv!$C:$C,"KT rek")</f>
        <v>982157.5</v>
      </c>
      <c r="D21" s="678">
        <f t="shared" si="6"/>
        <v>1096007.5</v>
      </c>
      <c r="F21" s="667" t="s">
        <v>210</v>
      </c>
    </row>
    <row r="22" spans="1:22" x14ac:dyDescent="0.2">
      <c r="A22" s="677" t="s">
        <v>756</v>
      </c>
      <c r="B22" s="678">
        <f>SUMIFS(Inv!$J:$J,Inv!$A:$A,B$5,Inv!$C:$C,"KT raj")</f>
        <v>913445</v>
      </c>
      <c r="C22" s="678">
        <f>SUMIFS(Inv!$J:$J,Inv!$A:$A,C$5,Inv!$C:$C,"KT raj")</f>
        <v>3707772.4999999995</v>
      </c>
      <c r="D22" s="678">
        <f t="shared" si="6"/>
        <v>4621217.5</v>
      </c>
      <c r="F22" s="1039" t="s">
        <v>6</v>
      </c>
      <c r="G22" s="1041" t="s">
        <v>208</v>
      </c>
      <c r="H22" s="1041"/>
      <c r="I22" s="1041"/>
      <c r="J22" s="1041"/>
      <c r="K22" s="1045" t="s">
        <v>209</v>
      </c>
      <c r="L22" s="1046"/>
      <c r="M22" s="1046"/>
      <c r="N22" s="1046"/>
      <c r="O22" s="1046"/>
      <c r="P22" s="1046"/>
      <c r="Q22" s="1046"/>
      <c r="R22" s="1047"/>
      <c r="S22" s="1034" t="s">
        <v>1040</v>
      </c>
      <c r="T22" s="1037" t="s">
        <v>945</v>
      </c>
      <c r="U22" s="1032" t="s">
        <v>946</v>
      </c>
      <c r="V22" s="1032" t="s">
        <v>947</v>
      </c>
    </row>
    <row r="23" spans="1:22" x14ac:dyDescent="0.2">
      <c r="A23" s="680" t="s">
        <v>23</v>
      </c>
      <c r="B23" s="681">
        <f>SUM(B18:B22)</f>
        <v>3088241.25</v>
      </c>
      <c r="C23" s="681">
        <f>SUM(C18:C22)</f>
        <v>5473080</v>
      </c>
      <c r="D23" s="681">
        <f>B23+C23</f>
        <v>8561321.25</v>
      </c>
      <c r="F23" s="1040"/>
      <c r="G23" s="686">
        <v>2024</v>
      </c>
      <c r="H23" s="686">
        <v>2025</v>
      </c>
      <c r="I23" s="686">
        <v>2026</v>
      </c>
      <c r="J23" s="686">
        <v>2027</v>
      </c>
      <c r="K23" s="687">
        <v>2028</v>
      </c>
      <c r="L23" s="687">
        <v>2029</v>
      </c>
      <c r="M23" s="687">
        <v>2030</v>
      </c>
      <c r="N23" s="687">
        <v>2031</v>
      </c>
      <c r="O23" s="687">
        <v>2032</v>
      </c>
      <c r="P23" s="687">
        <v>2033</v>
      </c>
      <c r="Q23" s="687">
        <v>2034</v>
      </c>
      <c r="R23" s="687">
        <v>2035</v>
      </c>
      <c r="S23" s="1035"/>
      <c r="T23" s="1038"/>
      <c r="U23" s="1033"/>
      <c r="V23" s="1033"/>
    </row>
    <row r="24" spans="1:22" x14ac:dyDescent="0.2">
      <c r="A24" s="1050" t="s">
        <v>25</v>
      </c>
      <c r="B24" s="1051"/>
      <c r="C24" s="1051"/>
      <c r="D24" s="1052"/>
      <c r="F24" s="672" t="s">
        <v>545</v>
      </c>
      <c r="G24" s="673">
        <f>SUMIF(Inv!$D:$D,$F24,Inv!P:P)</f>
        <v>267862.5</v>
      </c>
      <c r="H24" s="673">
        <f>SUMIF(Inv!$D:$D,$F24,Inv!Q:Q)</f>
        <v>166462.5</v>
      </c>
      <c r="I24" s="673">
        <f>SUMIF(Inv!$D:$D,$F24,Inv!R:R)</f>
        <v>568462.5</v>
      </c>
      <c r="J24" s="673">
        <f>SUMIF(Inv!$D:$D,$F24,Inv!S:S)</f>
        <v>60892.499999999985</v>
      </c>
      <c r="K24" s="673">
        <f>SUMIF(Inv!$D:$D,$F24,Inv!T:T)</f>
        <v>501169.99999999994</v>
      </c>
      <c r="L24" s="673">
        <f>SUMIF(Inv!$D:$D,$F24,Inv!U:U)</f>
        <v>501169.99999999994</v>
      </c>
      <c r="M24" s="673">
        <f>SUMIF(Inv!$D:$D,$F24,Inv!V:V)</f>
        <v>501169.99999999994</v>
      </c>
      <c r="N24" s="673">
        <f>SUMIF(Inv!$D:$D,$F24,Inv!W:W)</f>
        <v>501169.99999999994</v>
      </c>
      <c r="O24" s="673">
        <f>SUMIF(Inv!$D:$D,$F24,Inv!X:X)</f>
        <v>501169.99999999994</v>
      </c>
      <c r="P24" s="673">
        <f>SUMIF(Inv!$D:$D,$F24,Inv!Y:Y)</f>
        <v>501169.99999999994</v>
      </c>
      <c r="Q24" s="673">
        <f>SUMIF(Inv!$D:$D,$F24,Inv!Z:Z)</f>
        <v>501169.99999999994</v>
      </c>
      <c r="R24" s="673">
        <f>SUMIF(Inv!$D:$D,$F24,Inv!AA:AA)</f>
        <v>501169.99999999994</v>
      </c>
      <c r="S24" s="688">
        <f>SUM(K24:R24)</f>
        <v>4009359.9999999995</v>
      </c>
      <c r="T24" s="689">
        <f>SUMIF(Inv!$D:$D,$F24,Inv!K:K)</f>
        <v>5040610</v>
      </c>
      <c r="U24" s="674">
        <f>SUMIF(Inv!$D:$D,$F24,Inv!L:L)</f>
        <v>32429.999999999996</v>
      </c>
      <c r="V24" s="674">
        <f>SUMIF(Inv!$D:$D,$F24,Inv!M:M)</f>
        <v>0</v>
      </c>
    </row>
    <row r="25" spans="1:22" x14ac:dyDescent="0.2">
      <c r="A25" s="677" t="s">
        <v>826</v>
      </c>
      <c r="B25" s="678">
        <f>SUMIFS(Inv!$J:$J,Inv!$A:$A,B$5,Inv!$C:$C,"ST")</f>
        <v>0</v>
      </c>
      <c r="C25" s="678">
        <f>SUMIFS(Inv!$J:$J,Inv!$A:$A,C$5,Inv!$C:$C,"ST")</f>
        <v>0</v>
      </c>
      <c r="D25" s="678">
        <f t="shared" ref="D25:D26" si="7">B25+C25</f>
        <v>0</v>
      </c>
      <c r="F25" s="679" t="s">
        <v>274</v>
      </c>
      <c r="G25" s="673">
        <f>SUMIF(Inv!$D:$D,$F25,Inv!P:P)</f>
        <v>331660</v>
      </c>
      <c r="H25" s="673">
        <f>SUMIF(Inv!$D:$D,$F25,Inv!Q:Q)</f>
        <v>331660</v>
      </c>
      <c r="I25" s="673">
        <f>SUMIF(Inv!$D:$D,$F25,Inv!R:R)</f>
        <v>0</v>
      </c>
      <c r="J25" s="673">
        <f>SUMIF(Inv!$D:$D,$F25,Inv!S:S)</f>
        <v>0</v>
      </c>
      <c r="K25" s="673">
        <f>SUMIF(Inv!$D:$D,$F25,Inv!T:T)</f>
        <v>0</v>
      </c>
      <c r="L25" s="673">
        <f>SUMIF(Inv!$D:$D,$F25,Inv!U:U)</f>
        <v>0</v>
      </c>
      <c r="M25" s="673">
        <f>SUMIF(Inv!$D:$D,$F25,Inv!V:V)</f>
        <v>0</v>
      </c>
      <c r="N25" s="673">
        <f>SUMIF(Inv!$D:$D,$F25,Inv!W:W)</f>
        <v>0</v>
      </c>
      <c r="O25" s="673">
        <f>SUMIF(Inv!$D:$D,$F25,Inv!X:X)</f>
        <v>0</v>
      </c>
      <c r="P25" s="673">
        <f>SUMIF(Inv!$D:$D,$F25,Inv!Y:Y)</f>
        <v>0</v>
      </c>
      <c r="Q25" s="673">
        <f>SUMIF(Inv!$D:$D,$F25,Inv!Z:Z)</f>
        <v>0</v>
      </c>
      <c r="R25" s="673">
        <f>SUMIF(Inv!$D:$D,$F25,Inv!AA:AA)</f>
        <v>0</v>
      </c>
      <c r="S25" s="688">
        <f t="shared" ref="S25:S35" si="8">SUM(K25:R25)</f>
        <v>0</v>
      </c>
      <c r="T25" s="689">
        <f>SUMIF(Inv!$D:$D,$F25,Inv!K:K)</f>
        <v>0</v>
      </c>
      <c r="U25" s="674">
        <f>SUMIF(Inv!$D:$D,$F25,Inv!L:L)</f>
        <v>596988</v>
      </c>
      <c r="V25" s="674">
        <f>SUMIF(Inv!$D:$D,$F25,Inv!M:M)</f>
        <v>66332</v>
      </c>
    </row>
    <row r="26" spans="1:22" x14ac:dyDescent="0.2">
      <c r="A26" s="677" t="s">
        <v>825</v>
      </c>
      <c r="B26" s="678">
        <f>SUMIFS(Inv!$J:$J,Inv!$A:$A,B$5,Inv!$C:$C,"sade")</f>
        <v>39955</v>
      </c>
      <c r="C26" s="678">
        <f>SUMIFS(Inv!$J:$J,Inv!$A:$A,C$5,Inv!$C:$C,"sade")</f>
        <v>0</v>
      </c>
      <c r="D26" s="678">
        <f t="shared" si="7"/>
        <v>39955</v>
      </c>
      <c r="F26" s="679" t="s">
        <v>750</v>
      </c>
      <c r="G26" s="673">
        <f>SUMIF(Inv!$D:$D,$F26,Inv!P:P)</f>
        <v>0</v>
      </c>
      <c r="H26" s="673">
        <f>SUMIF(Inv!$D:$D,$F26,Inv!Q:Q)</f>
        <v>168475</v>
      </c>
      <c r="I26" s="673">
        <f>SUMIF(Inv!$D:$D,$F26,Inv!R:R)</f>
        <v>0</v>
      </c>
      <c r="J26" s="673">
        <f>SUMIF(Inv!$D:$D,$F26,Inv!S:S)</f>
        <v>5750</v>
      </c>
      <c r="K26" s="673">
        <f>SUMIF(Inv!$D:$D,$F26,Inv!T:T)</f>
        <v>65952.499999999985</v>
      </c>
      <c r="L26" s="673">
        <f>SUMIF(Inv!$D:$D,$F26,Inv!U:U)</f>
        <v>65952.499999999985</v>
      </c>
      <c r="M26" s="673">
        <f>SUMIF(Inv!$D:$D,$F26,Inv!V:V)</f>
        <v>65952.499999999985</v>
      </c>
      <c r="N26" s="673">
        <f>SUMIF(Inv!$D:$D,$F26,Inv!W:W)</f>
        <v>65952.499999999985</v>
      </c>
      <c r="O26" s="673">
        <f>SUMIF(Inv!$D:$D,$F26,Inv!X:X)</f>
        <v>65952.499999999985</v>
      </c>
      <c r="P26" s="673">
        <f>SUMIF(Inv!$D:$D,$F26,Inv!Y:Y)</f>
        <v>65952.499999999985</v>
      </c>
      <c r="Q26" s="673">
        <f>SUMIF(Inv!$D:$D,$F26,Inv!Z:Z)</f>
        <v>65952.499999999985</v>
      </c>
      <c r="R26" s="673">
        <f>SUMIF(Inv!$D:$D,$F26,Inv!AA:AA)</f>
        <v>65952.499999999985</v>
      </c>
      <c r="S26" s="688">
        <f t="shared" si="8"/>
        <v>527619.99999999988</v>
      </c>
      <c r="T26" s="689">
        <f>SUMIF(Inv!$D:$D,$F26,Inv!K:K)</f>
        <v>273999</v>
      </c>
      <c r="U26" s="674">
        <f>SUMIF(Inv!$D:$D,$F26,Inv!L:L)</f>
        <v>322322</v>
      </c>
      <c r="V26" s="674">
        <f>SUMIF(Inv!$D:$D,$F26,Inv!M:M)</f>
        <v>105524</v>
      </c>
    </row>
    <row r="27" spans="1:22" x14ac:dyDescent="0.2">
      <c r="A27" s="680" t="s">
        <v>201</v>
      </c>
      <c r="B27" s="681">
        <f>SUM(B25:B26)</f>
        <v>39955</v>
      </c>
      <c r="C27" s="681">
        <f>SUM(C25:C26)</f>
        <v>0</v>
      </c>
      <c r="D27" s="681">
        <f>B27+C27</f>
        <v>39955</v>
      </c>
      <c r="F27" s="672" t="s">
        <v>282</v>
      </c>
      <c r="G27" s="673">
        <f>SUMIF(Inv!$D:$D,$F27,Inv!P:P)</f>
        <v>0</v>
      </c>
      <c r="H27" s="673">
        <f>SUMIF(Inv!$D:$D,$F27,Inv!Q:Q)</f>
        <v>40250</v>
      </c>
      <c r="I27" s="673">
        <f>SUMIF(Inv!$D:$D,$F27,Inv!R:R)</f>
        <v>0</v>
      </c>
      <c r="J27" s="673">
        <f>SUMIF(Inv!$D:$D,$F27,Inv!S:S)</f>
        <v>0</v>
      </c>
      <c r="K27" s="673">
        <f>SUMIF(Inv!$D:$D,$F27,Inv!T:T)</f>
        <v>217601.5625</v>
      </c>
      <c r="L27" s="673">
        <f>SUMIF(Inv!$D:$D,$F27,Inv!U:U)</f>
        <v>217601.5625</v>
      </c>
      <c r="M27" s="673">
        <f>SUMIF(Inv!$D:$D,$F27,Inv!V:V)</f>
        <v>217601.5625</v>
      </c>
      <c r="N27" s="673">
        <f>SUMIF(Inv!$D:$D,$F27,Inv!W:W)</f>
        <v>217601.5625</v>
      </c>
      <c r="O27" s="673">
        <f>SUMIF(Inv!$D:$D,$F27,Inv!X:X)</f>
        <v>217601.5625</v>
      </c>
      <c r="P27" s="673">
        <f>SUMIF(Inv!$D:$D,$F27,Inv!Y:Y)</f>
        <v>217601.5625</v>
      </c>
      <c r="Q27" s="673">
        <f>SUMIF(Inv!$D:$D,$F27,Inv!Z:Z)</f>
        <v>217601.5625</v>
      </c>
      <c r="R27" s="673">
        <f>SUMIF(Inv!$D:$D,$F27,Inv!AA:AA)</f>
        <v>217601.5625</v>
      </c>
      <c r="S27" s="688">
        <f t="shared" si="8"/>
        <v>1740812.5</v>
      </c>
      <c r="T27" s="689">
        <f>SUMIF(Inv!$D:$D,$F27,Inv!K:K)</f>
        <v>1781062.5</v>
      </c>
      <c r="U27" s="674">
        <f>SUMIF(Inv!$D:$D,$F27,Inv!L:L)</f>
        <v>0</v>
      </c>
      <c r="V27" s="674">
        <f>SUMIF(Inv!$D:$D,$F27,Inv!M:M)</f>
        <v>0</v>
      </c>
    </row>
    <row r="28" spans="1:22" x14ac:dyDescent="0.2">
      <c r="A28" s="682" t="s">
        <v>29</v>
      </c>
      <c r="B28" s="683">
        <f>B23+B27</f>
        <v>3128196.25</v>
      </c>
      <c r="C28" s="683">
        <f>C23+C27</f>
        <v>5473080</v>
      </c>
      <c r="D28" s="683">
        <f>B28+C28</f>
        <v>8601276.25</v>
      </c>
      <c r="E28" s="666" t="str">
        <f>IF(D28=Inv!J6+Inv!J9,"OK","VIGA")</f>
        <v>OK</v>
      </c>
      <c r="F28" s="672" t="s">
        <v>434</v>
      </c>
      <c r="G28" s="673">
        <f>SUMIF(Inv!$D:$D,$F28,Inv!P:P)</f>
        <v>166224.99999999997</v>
      </c>
      <c r="H28" s="673">
        <f>SUMIF(Inv!$D:$D,$F28,Inv!Q:Q)</f>
        <v>377027.5</v>
      </c>
      <c r="I28" s="673">
        <f>SUMIF(Inv!$D:$D,$F28,Inv!R:R)</f>
        <v>0</v>
      </c>
      <c r="J28" s="673">
        <f>SUMIF(Inv!$D:$D,$F28,Inv!S:S)</f>
        <v>1049030</v>
      </c>
      <c r="K28" s="673">
        <f>SUMIF(Inv!$D:$D,$F28,Inv!T:T)</f>
        <v>11492.8125</v>
      </c>
      <c r="L28" s="673">
        <f>SUMIF(Inv!$D:$D,$F28,Inv!U:U)</f>
        <v>11492.8125</v>
      </c>
      <c r="M28" s="673">
        <f>SUMIF(Inv!$D:$D,$F28,Inv!V:V)</f>
        <v>11492.8125</v>
      </c>
      <c r="N28" s="673">
        <f>SUMIF(Inv!$D:$D,$F28,Inv!W:W)</f>
        <v>11492.8125</v>
      </c>
      <c r="O28" s="673">
        <f>SUMIF(Inv!$D:$D,$F28,Inv!X:X)</f>
        <v>11492.8125</v>
      </c>
      <c r="P28" s="673">
        <f>SUMIF(Inv!$D:$D,$F28,Inv!Y:Y)</f>
        <v>11492.8125</v>
      </c>
      <c r="Q28" s="673">
        <f>SUMIF(Inv!$D:$D,$F28,Inv!Z:Z)</f>
        <v>11492.8125</v>
      </c>
      <c r="R28" s="673">
        <f>SUMIF(Inv!$D:$D,$F28,Inv!AA:AA)</f>
        <v>11492.8125</v>
      </c>
      <c r="S28" s="688">
        <f t="shared" si="8"/>
        <v>91942.5</v>
      </c>
      <c r="T28" s="689">
        <f>SUMIF(Inv!$D:$D,$F28,Inv!K:K)</f>
        <v>1038449.9999999999</v>
      </c>
      <c r="U28" s="674">
        <f>SUMIF(Inv!$D:$D,$F28,Inv!L:L)</f>
        <v>15000</v>
      </c>
      <c r="V28" s="674">
        <f>SUMIF(Inv!$D:$D,$F28,Inv!M:M)</f>
        <v>630775</v>
      </c>
    </row>
    <row r="29" spans="1:22" x14ac:dyDescent="0.2">
      <c r="A29" s="690" t="s">
        <v>24</v>
      </c>
      <c r="B29" s="691">
        <f>B11+B15+B23+B27</f>
        <v>4337118.75</v>
      </c>
      <c r="C29" s="691">
        <f>C11+C15+C23+C27</f>
        <v>6900517.5</v>
      </c>
      <c r="D29" s="691">
        <f>D11+D15+D23+D27</f>
        <v>11237636.25</v>
      </c>
      <c r="F29" s="672" t="s">
        <v>433</v>
      </c>
      <c r="G29" s="673">
        <f>SUMIF(Inv!$D:$D,$F29,Inv!P:P)</f>
        <v>0</v>
      </c>
      <c r="H29" s="673">
        <f>SUMIF(Inv!$D:$D,$F29,Inv!Q:Q)</f>
        <v>0</v>
      </c>
      <c r="I29" s="673">
        <f>SUMIF(Inv!$D:$D,$F29,Inv!R:R)</f>
        <v>0</v>
      </c>
      <c r="J29" s="673">
        <f>SUMIF(Inv!$D:$D,$F29,Inv!S:S)</f>
        <v>0</v>
      </c>
      <c r="K29" s="673">
        <f>SUMIF(Inv!$D:$D,$F29,Inv!T:T)</f>
        <v>0</v>
      </c>
      <c r="L29" s="673">
        <f>SUMIF(Inv!$D:$D,$F29,Inv!U:U)</f>
        <v>0</v>
      </c>
      <c r="M29" s="673">
        <f>SUMIF(Inv!$D:$D,$F29,Inv!V:V)</f>
        <v>0</v>
      </c>
      <c r="N29" s="673">
        <f>SUMIF(Inv!$D:$D,$F29,Inv!W:W)</f>
        <v>0</v>
      </c>
      <c r="O29" s="673">
        <f>SUMIF(Inv!$D:$D,$F29,Inv!X:X)</f>
        <v>0</v>
      </c>
      <c r="P29" s="673">
        <f>SUMIF(Inv!$D:$D,$F29,Inv!Y:Y)</f>
        <v>0</v>
      </c>
      <c r="Q29" s="673">
        <f>SUMIF(Inv!$D:$D,$F29,Inv!Z:Z)</f>
        <v>0</v>
      </c>
      <c r="R29" s="673">
        <f>SUMIF(Inv!$D:$D,$F29,Inv!AA:AA)</f>
        <v>0</v>
      </c>
      <c r="S29" s="688">
        <f t="shared" si="8"/>
        <v>0</v>
      </c>
      <c r="T29" s="689">
        <f>SUMIF(Inv!$D:$D,$F29,Inv!K:K)</f>
        <v>0</v>
      </c>
      <c r="U29" s="674">
        <f>SUMIF(Inv!$D:$D,$F29,Inv!L:L)</f>
        <v>0</v>
      </c>
      <c r="V29" s="674">
        <f>SUMIF(Inv!$D:$D,$F29,Inv!M:M)</f>
        <v>0</v>
      </c>
    </row>
    <row r="30" spans="1:22" x14ac:dyDescent="0.2">
      <c r="B30" s="685" t="str">
        <f>IF(B29=Inv!$J$4,"OK","VIGA")</f>
        <v>OK</v>
      </c>
      <c r="C30" s="685" t="str">
        <f>IF(C29=Inv!$J$7,"OK","VIGA")</f>
        <v>OK</v>
      </c>
      <c r="D30" s="685" t="str">
        <f>IF(D29=Inv!$J$3,"OK","VIGA")</f>
        <v>OK</v>
      </c>
      <c r="F30" s="672" t="s">
        <v>483</v>
      </c>
      <c r="G30" s="673">
        <f>SUMIF(Inv!$D:$D,$F30,Inv!P:P)</f>
        <v>0</v>
      </c>
      <c r="H30" s="673">
        <f>SUMIF(Inv!$D:$D,$F30,Inv!Q:Q)</f>
        <v>0</v>
      </c>
      <c r="I30" s="673">
        <f>SUMIF(Inv!$D:$D,$F30,Inv!R:R)</f>
        <v>0</v>
      </c>
      <c r="J30" s="673">
        <f>SUMIF(Inv!$D:$D,$F30,Inv!S:S)</f>
        <v>59799.999999999993</v>
      </c>
      <c r="K30" s="673">
        <f>SUMIF(Inv!$D:$D,$F30,Inv!T:T)</f>
        <v>0</v>
      </c>
      <c r="L30" s="673">
        <f>SUMIF(Inv!$D:$D,$F30,Inv!U:U)</f>
        <v>0</v>
      </c>
      <c r="M30" s="673">
        <f>SUMIF(Inv!$D:$D,$F30,Inv!V:V)</f>
        <v>0</v>
      </c>
      <c r="N30" s="673">
        <f>SUMIF(Inv!$D:$D,$F30,Inv!W:W)</f>
        <v>0</v>
      </c>
      <c r="O30" s="673">
        <f>SUMIF(Inv!$D:$D,$F30,Inv!X:X)</f>
        <v>0</v>
      </c>
      <c r="P30" s="673">
        <f>SUMIF(Inv!$D:$D,$F30,Inv!Y:Y)</f>
        <v>0</v>
      </c>
      <c r="Q30" s="673">
        <f>SUMIF(Inv!$D:$D,$F30,Inv!Z:Z)</f>
        <v>0</v>
      </c>
      <c r="R30" s="673">
        <f>SUMIF(Inv!$D:$D,$F30,Inv!AA:AA)</f>
        <v>0</v>
      </c>
      <c r="S30" s="688">
        <f t="shared" si="8"/>
        <v>0</v>
      </c>
      <c r="T30" s="689">
        <f>SUMIF(Inv!$D:$D,$F30,Inv!K:K)</f>
        <v>0</v>
      </c>
      <c r="U30" s="674">
        <f>SUMIF(Inv!$D:$D,$F30,Inv!L:L)</f>
        <v>59799.999999999993</v>
      </c>
      <c r="V30" s="674">
        <f>SUMIF(Inv!$D:$D,$F30,Inv!M:M)</f>
        <v>0</v>
      </c>
    </row>
    <row r="31" spans="1:22" x14ac:dyDescent="0.2">
      <c r="B31" s="692"/>
      <c r="C31" s="692"/>
      <c r="F31" s="672" t="s">
        <v>484</v>
      </c>
      <c r="G31" s="673">
        <f>SUMIF(Inv!$D:$D,$F31,Inv!P:P)</f>
        <v>0</v>
      </c>
      <c r="H31" s="673">
        <f>SUMIF(Inv!$D:$D,$F31,Inv!Q:Q)</f>
        <v>0</v>
      </c>
      <c r="I31" s="673">
        <f>SUMIF(Inv!$D:$D,$F31,Inv!R:R)</f>
        <v>0</v>
      </c>
      <c r="J31" s="673">
        <f>SUMIF(Inv!$D:$D,$F31,Inv!S:S)</f>
        <v>0</v>
      </c>
      <c r="K31" s="673">
        <f>SUMIF(Inv!$D:$D,$F31,Inv!T:T)</f>
        <v>0</v>
      </c>
      <c r="L31" s="673">
        <f>SUMIF(Inv!$D:$D,$F31,Inv!U:U)</f>
        <v>0</v>
      </c>
      <c r="M31" s="673">
        <f>SUMIF(Inv!$D:$D,$F31,Inv!V:V)</f>
        <v>0</v>
      </c>
      <c r="N31" s="673">
        <f>SUMIF(Inv!$D:$D,$F31,Inv!W:W)</f>
        <v>0</v>
      </c>
      <c r="O31" s="673">
        <f>SUMIF(Inv!$D:$D,$F31,Inv!X:X)</f>
        <v>0</v>
      </c>
      <c r="P31" s="673">
        <f>SUMIF(Inv!$D:$D,$F31,Inv!Y:Y)</f>
        <v>0</v>
      </c>
      <c r="Q31" s="673">
        <f>SUMIF(Inv!$D:$D,$F31,Inv!Z:Z)</f>
        <v>0</v>
      </c>
      <c r="R31" s="673">
        <f>SUMIF(Inv!$D:$D,$F31,Inv!AA:AA)</f>
        <v>0</v>
      </c>
      <c r="S31" s="688">
        <f t="shared" si="8"/>
        <v>0</v>
      </c>
      <c r="T31" s="689">
        <f>SUMIF(Inv!$D:$D,$F31,Inv!K:K)</f>
        <v>0</v>
      </c>
      <c r="U31" s="674">
        <f>SUMIF(Inv!$D:$D,$F31,Inv!L:L)</f>
        <v>0</v>
      </c>
      <c r="V31" s="674">
        <f>SUMIF(Inv!$D:$D,$F31,Inv!M:M)</f>
        <v>0</v>
      </c>
    </row>
    <row r="32" spans="1:22" x14ac:dyDescent="0.2">
      <c r="F32" s="672" t="s">
        <v>437</v>
      </c>
      <c r="G32" s="673">
        <f>SUMIF(Inv!$D:$D,$F32,Inv!P:P)</f>
        <v>0</v>
      </c>
      <c r="H32" s="673">
        <f>SUMIF(Inv!$D:$D,$F32,Inv!Q:Q)</f>
        <v>0</v>
      </c>
      <c r="I32" s="673">
        <f>SUMIF(Inv!$D:$D,$F32,Inv!R:R)</f>
        <v>28750</v>
      </c>
      <c r="J32" s="673">
        <f>SUMIF(Inv!$D:$D,$F32,Inv!S:S)</f>
        <v>0</v>
      </c>
      <c r="K32" s="673">
        <f>SUMIF(Inv!$D:$D,$F32,Inv!T:T)</f>
        <v>51462.499999999993</v>
      </c>
      <c r="L32" s="673">
        <f>SUMIF(Inv!$D:$D,$F32,Inv!U:U)</f>
        <v>51462.499999999993</v>
      </c>
      <c r="M32" s="673">
        <f>SUMIF(Inv!$D:$D,$F32,Inv!V:V)</f>
        <v>51462.499999999993</v>
      </c>
      <c r="N32" s="673">
        <f>SUMIF(Inv!$D:$D,$F32,Inv!W:W)</f>
        <v>51462.499999999993</v>
      </c>
      <c r="O32" s="673">
        <f>SUMIF(Inv!$D:$D,$F32,Inv!X:X)</f>
        <v>51462.499999999993</v>
      </c>
      <c r="P32" s="673">
        <f>SUMIF(Inv!$D:$D,$F32,Inv!Y:Y)</f>
        <v>51462.499999999993</v>
      </c>
      <c r="Q32" s="673">
        <f>SUMIF(Inv!$D:$D,$F32,Inv!Z:Z)</f>
        <v>51462.499999999993</v>
      </c>
      <c r="R32" s="673">
        <f>SUMIF(Inv!$D:$D,$F32,Inv!AA:AA)</f>
        <v>51462.499999999993</v>
      </c>
      <c r="S32" s="688">
        <f t="shared" si="8"/>
        <v>411699.99999999994</v>
      </c>
      <c r="T32" s="689">
        <f>SUMIF(Inv!$D:$D,$F32,Inv!K:K)</f>
        <v>440449.99999999994</v>
      </c>
      <c r="U32" s="674">
        <f>SUMIF(Inv!$D:$D,$F32,Inv!L:L)</f>
        <v>0</v>
      </c>
      <c r="V32" s="674">
        <f>SUMIF(Inv!$D:$D,$F32,Inv!M:M)</f>
        <v>0</v>
      </c>
    </row>
    <row r="33" spans="5:22" x14ac:dyDescent="0.2">
      <c r="F33" s="672" t="s">
        <v>435</v>
      </c>
      <c r="G33" s="673">
        <f>SUMIF(Inv!$D:$D,$F33,Inv!P:P)</f>
        <v>0</v>
      </c>
      <c r="H33" s="673">
        <f>SUMIF(Inv!$D:$D,$F33,Inv!Q:Q)</f>
        <v>0</v>
      </c>
      <c r="I33" s="673">
        <f>SUMIF(Inv!$D:$D,$F33,Inv!R:R)</f>
        <v>0</v>
      </c>
      <c r="J33" s="673">
        <f>SUMIF(Inv!$D:$D,$F33,Inv!S:S)</f>
        <v>0</v>
      </c>
      <c r="K33" s="673">
        <f>SUMIF(Inv!$D:$D,$F33,Inv!T:T)</f>
        <v>9854.0625</v>
      </c>
      <c r="L33" s="673">
        <f>SUMIF(Inv!$D:$D,$F33,Inv!U:U)</f>
        <v>9854.0625</v>
      </c>
      <c r="M33" s="673">
        <f>SUMIF(Inv!$D:$D,$F33,Inv!V:V)</f>
        <v>9854.0625</v>
      </c>
      <c r="N33" s="673">
        <f>SUMIF(Inv!$D:$D,$F33,Inv!W:W)</f>
        <v>9854.0625</v>
      </c>
      <c r="O33" s="673">
        <f>SUMIF(Inv!$D:$D,$F33,Inv!X:X)</f>
        <v>9854.0625</v>
      </c>
      <c r="P33" s="673">
        <f>SUMIF(Inv!$D:$D,$F33,Inv!Y:Y)</f>
        <v>9854.0625</v>
      </c>
      <c r="Q33" s="673">
        <f>SUMIF(Inv!$D:$D,$F33,Inv!Z:Z)</f>
        <v>9854.0625</v>
      </c>
      <c r="R33" s="673">
        <f>SUMIF(Inv!$D:$D,$F33,Inv!AA:AA)</f>
        <v>9854.0625</v>
      </c>
      <c r="S33" s="688">
        <f t="shared" si="8"/>
        <v>78832.5</v>
      </c>
      <c r="T33" s="689">
        <f>SUMIF(Inv!$D:$D,$F33,Inv!K:K)</f>
        <v>78832.5</v>
      </c>
      <c r="U33" s="674">
        <f>SUMIF(Inv!$D:$D,$F33,Inv!L:L)</f>
        <v>0</v>
      </c>
      <c r="V33" s="674">
        <f>SUMIF(Inv!$D:$D,$F33,Inv!M:M)</f>
        <v>0</v>
      </c>
    </row>
    <row r="34" spans="5:22" x14ac:dyDescent="0.2">
      <c r="F34" s="672" t="s">
        <v>289</v>
      </c>
      <c r="G34" s="673">
        <f>SUMIF(Inv!$D:$D,$F34,Inv!P:P)</f>
        <v>0</v>
      </c>
      <c r="H34" s="673">
        <f>SUMIF(Inv!$D:$D,$F34,Inv!Q:Q)</f>
        <v>318851.875</v>
      </c>
      <c r="I34" s="673">
        <f>SUMIF(Inv!$D:$D,$F34,Inv!R:R)</f>
        <v>318851.875</v>
      </c>
      <c r="J34" s="673">
        <f>SUMIF(Inv!$D:$D,$F34,Inv!S:S)</f>
        <v>0</v>
      </c>
      <c r="K34" s="673">
        <f>SUMIF(Inv!$D:$D,$F34,Inv!T:T)</f>
        <v>5031.25</v>
      </c>
      <c r="L34" s="673">
        <f>SUMIF(Inv!$D:$D,$F34,Inv!U:U)</f>
        <v>5031.25</v>
      </c>
      <c r="M34" s="673">
        <f>SUMIF(Inv!$D:$D,$F34,Inv!V:V)</f>
        <v>5031.25</v>
      </c>
      <c r="N34" s="673">
        <f>SUMIF(Inv!$D:$D,$F34,Inv!W:W)</f>
        <v>5031.25</v>
      </c>
      <c r="O34" s="673">
        <f>SUMIF(Inv!$D:$D,$F34,Inv!X:X)</f>
        <v>5031.25</v>
      </c>
      <c r="P34" s="673">
        <f>SUMIF(Inv!$D:$D,$F34,Inv!Y:Y)</f>
        <v>5031.25</v>
      </c>
      <c r="Q34" s="673">
        <f>SUMIF(Inv!$D:$D,$F34,Inv!Z:Z)</f>
        <v>5031.25</v>
      </c>
      <c r="R34" s="673">
        <f>SUMIF(Inv!$D:$D,$F34,Inv!AA:AA)</f>
        <v>5031.25</v>
      </c>
      <c r="S34" s="688">
        <f t="shared" si="8"/>
        <v>40250</v>
      </c>
      <c r="T34" s="689">
        <f>SUMIF(Inv!$D:$D,$F34,Inv!K:K)</f>
        <v>132077.5</v>
      </c>
      <c r="U34" s="674">
        <f>SUMIF(Inv!$D:$D,$F34,Inv!L:L)</f>
        <v>515876.25000000006</v>
      </c>
      <c r="V34" s="674">
        <f>SUMIF(Inv!$D:$D,$F34,Inv!M:M)</f>
        <v>29999.999999999996</v>
      </c>
    </row>
    <row r="35" spans="5:22" x14ac:dyDescent="0.2">
      <c r="F35" s="672" t="s">
        <v>486</v>
      </c>
      <c r="G35" s="673">
        <f>SUMIF(Inv!$D:$D,$F35,Inv!P:P)</f>
        <v>77107.5</v>
      </c>
      <c r="H35" s="673">
        <f>SUMIF(Inv!$D:$D,$F35,Inv!Q:Q)</f>
        <v>0</v>
      </c>
      <c r="I35" s="673">
        <f>SUMIF(Inv!$D:$D,$F35,Inv!R:R)</f>
        <v>0</v>
      </c>
      <c r="J35" s="673">
        <f>SUMIF(Inv!$D:$D,$F35,Inv!S:S)</f>
        <v>0</v>
      </c>
      <c r="K35" s="673">
        <f>SUMIF(Inv!$D:$D,$F35,Inv!T:T)</f>
        <v>0</v>
      </c>
      <c r="L35" s="673">
        <f>SUMIF(Inv!$D:$D,$F35,Inv!U:U)</f>
        <v>0</v>
      </c>
      <c r="M35" s="673">
        <f>SUMIF(Inv!$D:$D,$F35,Inv!V:V)</f>
        <v>0</v>
      </c>
      <c r="N35" s="673">
        <f>SUMIF(Inv!$D:$D,$F35,Inv!W:W)</f>
        <v>0</v>
      </c>
      <c r="O35" s="673">
        <f>SUMIF(Inv!$D:$D,$F35,Inv!X:X)</f>
        <v>0</v>
      </c>
      <c r="P35" s="673">
        <f>SUMIF(Inv!$D:$D,$F35,Inv!Y:Y)</f>
        <v>0</v>
      </c>
      <c r="Q35" s="673">
        <f>SUMIF(Inv!$D:$D,$F35,Inv!Z:Z)</f>
        <v>0</v>
      </c>
      <c r="R35" s="673">
        <f>SUMIF(Inv!$D:$D,$F35,Inv!AA:AA)</f>
        <v>0</v>
      </c>
      <c r="S35" s="688">
        <f t="shared" si="8"/>
        <v>0</v>
      </c>
      <c r="T35" s="689">
        <f>SUMIF(Inv!$D:$D,$F35,Inv!K:K)</f>
        <v>0</v>
      </c>
      <c r="U35" s="674">
        <f>SUMIF(Inv!$D:$D,$F35,Inv!L:L)</f>
        <v>77107.5</v>
      </c>
      <c r="V35" s="674">
        <f>SUMIF(Inv!$D:$D,$F35,Inv!M:M)</f>
        <v>0</v>
      </c>
    </row>
    <row r="36" spans="5:22" x14ac:dyDescent="0.2">
      <c r="E36" s="685" t="str">
        <f>IF(SUM(G36:R36)=Q18,"OK","VIGA")</f>
        <v>OK</v>
      </c>
      <c r="F36" s="684" t="s">
        <v>37</v>
      </c>
      <c r="G36" s="675">
        <f t="shared" ref="G36:S36" si="9">SUM(G24:G35)</f>
        <v>842855</v>
      </c>
      <c r="H36" s="675">
        <f t="shared" si="9"/>
        <v>1402726.875</v>
      </c>
      <c r="I36" s="675">
        <f t="shared" si="9"/>
        <v>916064.375</v>
      </c>
      <c r="J36" s="675">
        <f t="shared" si="9"/>
        <v>1175472.5</v>
      </c>
      <c r="K36" s="675">
        <f t="shared" si="9"/>
        <v>862564.68749999988</v>
      </c>
      <c r="L36" s="675">
        <f t="shared" si="9"/>
        <v>862564.68749999988</v>
      </c>
      <c r="M36" s="675">
        <f t="shared" si="9"/>
        <v>862564.68749999988</v>
      </c>
      <c r="N36" s="675">
        <f t="shared" si="9"/>
        <v>862564.68749999988</v>
      </c>
      <c r="O36" s="675">
        <f t="shared" si="9"/>
        <v>862564.68749999988</v>
      </c>
      <c r="P36" s="675">
        <f t="shared" si="9"/>
        <v>862564.68749999988</v>
      </c>
      <c r="Q36" s="675">
        <f t="shared" si="9"/>
        <v>862564.68749999988</v>
      </c>
      <c r="R36" s="675">
        <f t="shared" si="9"/>
        <v>862564.68749999988</v>
      </c>
      <c r="S36" s="675">
        <f t="shared" si="9"/>
        <v>6900517.4999999991</v>
      </c>
      <c r="T36" s="675">
        <f>SUM(T24:T35)</f>
        <v>8785481.5</v>
      </c>
      <c r="U36" s="675">
        <f>SUM(U24:U35)</f>
        <v>1619523.75</v>
      </c>
      <c r="V36" s="675">
        <f>SUM(V24:V35)</f>
        <v>832631</v>
      </c>
    </row>
    <row r="37" spans="5:22" x14ac:dyDescent="0.2">
      <c r="J37" s="685" t="str">
        <f>IF(SUM(G36:J36)=$K$18,"OK","VIGA")</f>
        <v>OK</v>
      </c>
      <c r="R37" s="685" t="str">
        <f>IF(SUM(K36:R36)=$P$18,"OK","VIGA")</f>
        <v>OK</v>
      </c>
      <c r="S37" s="685"/>
      <c r="V37" s="685" t="str">
        <f>IF(SUM(T36:V36)=$Q$18,"OK","VIGA")</f>
        <v>OK</v>
      </c>
    </row>
    <row r="39" spans="5:22" x14ac:dyDescent="0.2">
      <c r="F39" s="667" t="s">
        <v>211</v>
      </c>
    </row>
    <row r="40" spans="5:22" x14ac:dyDescent="0.2">
      <c r="F40" s="1039" t="s">
        <v>200</v>
      </c>
      <c r="G40" s="1041" t="s">
        <v>208</v>
      </c>
      <c r="H40" s="1041"/>
      <c r="I40" s="1041"/>
      <c r="J40" s="1041"/>
      <c r="K40" s="1045" t="s">
        <v>209</v>
      </c>
      <c r="L40" s="1046"/>
      <c r="M40" s="1046"/>
      <c r="N40" s="1046"/>
      <c r="O40" s="1046"/>
      <c r="P40" s="1046"/>
      <c r="Q40" s="1046"/>
      <c r="R40" s="1047"/>
      <c r="S40" s="1034" t="s">
        <v>1040</v>
      </c>
      <c r="T40" s="1037" t="s">
        <v>945</v>
      </c>
      <c r="U40" s="1032" t="s">
        <v>946</v>
      </c>
      <c r="V40" s="1032" t="s">
        <v>926</v>
      </c>
    </row>
    <row r="41" spans="5:22" x14ac:dyDescent="0.2">
      <c r="F41" s="1040"/>
      <c r="G41" s="686">
        <v>2024</v>
      </c>
      <c r="H41" s="686">
        <v>2025</v>
      </c>
      <c r="I41" s="686">
        <v>2026</v>
      </c>
      <c r="J41" s="686">
        <v>2027</v>
      </c>
      <c r="K41" s="687">
        <v>2028</v>
      </c>
      <c r="L41" s="687">
        <v>2029</v>
      </c>
      <c r="M41" s="687">
        <v>2030</v>
      </c>
      <c r="N41" s="687">
        <v>2031</v>
      </c>
      <c r="O41" s="687">
        <v>2032</v>
      </c>
      <c r="P41" s="687">
        <v>2033</v>
      </c>
      <c r="Q41" s="687">
        <v>2034</v>
      </c>
      <c r="R41" s="687">
        <v>2035</v>
      </c>
      <c r="S41" s="1035"/>
      <c r="T41" s="1038"/>
      <c r="U41" s="1033"/>
      <c r="V41" s="1033"/>
    </row>
    <row r="42" spans="5:22" x14ac:dyDescent="0.2">
      <c r="F42" s="672" t="s">
        <v>215</v>
      </c>
      <c r="G42" s="673">
        <f>SUMIF(Inv!$B:$B,"vesi",Inv!P:P)-SUMIF(Inv!$C:$C,"TTV",Inv!P:P)</f>
        <v>403175</v>
      </c>
      <c r="H42" s="673">
        <f>SUMIF(Inv!$B:$B,"vesi",Inv!Q:Q)-SUMIF(Inv!$C:$C,"TTV",Inv!Q:Q)</f>
        <v>590783.75</v>
      </c>
      <c r="I42" s="673">
        <f>SUMIF(Inv!$B:$B,"vesi",Inv!R:R)-SUMIF(Inv!$C:$C,"TTV",Inv!R:R)</f>
        <v>63163.75</v>
      </c>
      <c r="J42" s="673">
        <f>SUMIF(Inv!$B:$B,"vesi",Inv!S:S)-SUMIF(Inv!$C:$C,"TTV",Inv!S:S)</f>
        <v>5750</v>
      </c>
      <c r="K42" s="673">
        <f>SUMIF(Inv!$B:$B,"vesi",Inv!T:T)-SUMIF(Inv!$C:$C,"TTV",Inv!T:T)</f>
        <v>174404.6875</v>
      </c>
      <c r="L42" s="673">
        <f>SUMIF(Inv!$B:$B,"vesi",Inv!U:U)-SUMIF(Inv!$C:$C,"TTV",Inv!U:U)</f>
        <v>174404.6875</v>
      </c>
      <c r="M42" s="673">
        <f>SUMIF(Inv!$B:$B,"vesi",Inv!V:V)-SUMIF(Inv!$C:$C,"TTV",Inv!V:V)</f>
        <v>174404.6875</v>
      </c>
      <c r="N42" s="673">
        <f>SUMIF(Inv!$B:$B,"vesi",Inv!W:W)-SUMIF(Inv!$C:$C,"TTV",Inv!W:W)</f>
        <v>174404.6875</v>
      </c>
      <c r="O42" s="673">
        <f>SUMIF(Inv!$B:$B,"vesi",Inv!X:X)-SUMIF(Inv!$C:$C,"TTV",Inv!X:X)</f>
        <v>174404.6875</v>
      </c>
      <c r="P42" s="673">
        <f>SUMIF(Inv!$B:$B,"vesi",Inv!Y:Y)-SUMIF(Inv!$C:$C,"TTV",Inv!Y:Y)</f>
        <v>174404.6875</v>
      </c>
      <c r="Q42" s="673">
        <f>SUMIF(Inv!$B:$B,"vesi",Inv!Z:Z)-SUMIF(Inv!$C:$C,"TTV",Inv!Z:Z)</f>
        <v>174404.6875</v>
      </c>
      <c r="R42" s="673">
        <f>SUMIF(Inv!$B:$B,"vesi",Inv!AA:AA)-SUMIF(Inv!$C:$C,"TTV",Inv!AA:AA)</f>
        <v>174404.6875</v>
      </c>
      <c r="S42" s="688">
        <f t="shared" ref="S42:S45" si="10">SUM(K42:R42)</f>
        <v>1395237.5</v>
      </c>
      <c r="T42" s="689">
        <f>SUMIF(Inv!$B:$B,"vesi",Inv!K:K)-SUMIF(Inv!$C:$C,"TTV",Inv!K:K)</f>
        <v>1805933.5</v>
      </c>
      <c r="U42" s="674">
        <f>SUMIF(Inv!$B:$B,"vesi",Inv!L:L)-SUMIF(Inv!$C:$C,"TTV",Inv!L:L)</f>
        <v>431169.5</v>
      </c>
      <c r="V42" s="674">
        <f>SUMIF(Inv!$B:$B,"vesi",Inv!M:M)-SUMIF(Inv!$C:$C,"TTV",Inv!M:M)</f>
        <v>221007</v>
      </c>
    </row>
    <row r="43" spans="5:22" x14ac:dyDescent="0.2">
      <c r="F43" s="672" t="s">
        <v>212</v>
      </c>
      <c r="G43" s="673">
        <f>SUMIF(Inv!$B:$B,"tuletõrje",Inv!P:P)+SUMIF(Inv!$C:$C,"TTV",Inv!P:P)</f>
        <v>0</v>
      </c>
      <c r="H43" s="673">
        <f>SUMIF(Inv!$B:$B,"tuletõrje",Inv!Q:Q)+SUMIF(Inv!$C:$C,"TTV",Inv!Q:Q)</f>
        <v>0</v>
      </c>
      <c r="I43" s="673">
        <f>SUMIF(Inv!$B:$B,"tuletõrje",Inv!R:R)+SUMIF(Inv!$C:$C,"TTV",Inv!R:R)</f>
        <v>0</v>
      </c>
      <c r="J43" s="673">
        <f>SUMIF(Inv!$B:$B,"tuletõrje",Inv!S:S)+SUMIF(Inv!$C:$C,"TTV",Inv!S:S)</f>
        <v>146050</v>
      </c>
      <c r="K43" s="673">
        <f>SUMIF(Inv!$B:$B,"tuletõrje",Inv!T:T)+SUMIF(Inv!$C:$C,"TTV",Inv!T:T)</f>
        <v>4024.9999999999995</v>
      </c>
      <c r="L43" s="673">
        <f>SUMIF(Inv!$B:$B,"tuletõrje",Inv!U:U)+SUMIF(Inv!$C:$C,"TTV",Inv!U:U)</f>
        <v>4024.9999999999995</v>
      </c>
      <c r="M43" s="673">
        <f>SUMIF(Inv!$B:$B,"tuletõrje",Inv!V:V)+SUMIF(Inv!$C:$C,"TTV",Inv!V:V)</f>
        <v>4024.9999999999995</v>
      </c>
      <c r="N43" s="673">
        <f>SUMIF(Inv!$B:$B,"tuletõrje",Inv!W:W)+SUMIF(Inv!$C:$C,"TTV",Inv!W:W)</f>
        <v>4024.9999999999995</v>
      </c>
      <c r="O43" s="673">
        <f>SUMIF(Inv!$B:$B,"tuletõrje",Inv!X:X)+SUMIF(Inv!$C:$C,"TTV",Inv!X:X)</f>
        <v>4024.9999999999995</v>
      </c>
      <c r="P43" s="673">
        <f>SUMIF(Inv!$B:$B,"tuletõrje",Inv!Y:Y)+SUMIF(Inv!$C:$C,"TTV",Inv!Y:Y)</f>
        <v>4024.9999999999995</v>
      </c>
      <c r="Q43" s="673">
        <f>SUMIF(Inv!$B:$B,"tuletõrje",Inv!Z:Z)+SUMIF(Inv!$C:$C,"TTV",Inv!Z:Z)</f>
        <v>4024.9999999999995</v>
      </c>
      <c r="R43" s="673">
        <f>SUMIF(Inv!$B:$B,"tuletõrje",Inv!AA:AA)+SUMIF(Inv!$C:$C,"TTV",Inv!AA:AA)</f>
        <v>4024.9999999999995</v>
      </c>
      <c r="S43" s="688">
        <f t="shared" si="10"/>
        <v>32199.999999999996</v>
      </c>
      <c r="T43" s="689">
        <f>SUMIF(Inv!$B:$B,"tuletõrje",Inv!K:K)+SUMIF(Inv!$C:$C,"TTV",Inv!K:K)</f>
        <v>118450</v>
      </c>
      <c r="U43" s="674">
        <f>SUMIF(Inv!$B:$B,"tuletõrje",Inv!L:L)+SUMIF(Inv!$C:$C,"TTV",Inv!L:L)</f>
        <v>59799.999999999993</v>
      </c>
      <c r="V43" s="674">
        <f>SUMIF(Inv!$B:$B,"tuletõrje",Inv!M:M)+SUMIF(Inv!$C:$C,"TTV",Inv!M:M)</f>
        <v>0</v>
      </c>
    </row>
    <row r="44" spans="5:22" x14ac:dyDescent="0.2">
      <c r="F44" s="672" t="s">
        <v>213</v>
      </c>
      <c r="G44" s="673">
        <f>SUMIF(Inv!$B:$B,"kanal",Inv!P:P)</f>
        <v>424680</v>
      </c>
      <c r="H44" s="673">
        <f>SUMIF(Inv!$B:$B,"kanal",Inv!Q:Q)</f>
        <v>811943.125</v>
      </c>
      <c r="I44" s="673">
        <f>SUMIF(Inv!$B:$B,"kanal",Inv!R:R)</f>
        <v>852900.625</v>
      </c>
      <c r="J44" s="673">
        <f>SUMIF(Inv!$B:$B,"kanal",Inv!S:S)</f>
        <v>998717.5</v>
      </c>
      <c r="K44" s="673">
        <f>SUMIF(Inv!$B:$B,"kanal",Inv!T:T)</f>
        <v>684135</v>
      </c>
      <c r="L44" s="673">
        <f>SUMIF(Inv!$B:$B,"kanal",Inv!U:U)</f>
        <v>684135</v>
      </c>
      <c r="M44" s="673">
        <f>SUMIF(Inv!$B:$B,"kanal",Inv!V:V)</f>
        <v>684135</v>
      </c>
      <c r="N44" s="673">
        <f>SUMIF(Inv!$B:$B,"kanal",Inv!W:W)</f>
        <v>684135</v>
      </c>
      <c r="O44" s="673">
        <f>SUMIF(Inv!$B:$B,"kanal",Inv!X:X)</f>
        <v>684135</v>
      </c>
      <c r="P44" s="673">
        <f>SUMIF(Inv!$B:$B,"kanal",Inv!Y:Y)</f>
        <v>684135</v>
      </c>
      <c r="Q44" s="673">
        <f>SUMIF(Inv!$B:$B,"kanal",Inv!Z:Z)</f>
        <v>684135</v>
      </c>
      <c r="R44" s="673">
        <f>SUMIF(Inv!$B:$B,"kanal",Inv!AA:AA)</f>
        <v>684135</v>
      </c>
      <c r="S44" s="688">
        <f t="shared" si="10"/>
        <v>5473080</v>
      </c>
      <c r="T44" s="689">
        <f>SUMIF(Inv!$B:$B,"kanal",Inv!K:K)</f>
        <v>6861098</v>
      </c>
      <c r="U44" s="674">
        <f>SUMIF(Inv!$B:$B,"kanal",Inv!L:L)</f>
        <v>1088599.2500000002</v>
      </c>
      <c r="V44" s="674">
        <f>SUMIF(Inv!$B:$B,"kanal",Inv!M:M)</f>
        <v>611623.99999999988</v>
      </c>
    </row>
    <row r="45" spans="5:22" x14ac:dyDescent="0.2">
      <c r="F45" s="672" t="s">
        <v>214</v>
      </c>
      <c r="G45" s="673">
        <f>SUMIF(Inv!$B:$B,"sade",Inv!P:P)</f>
        <v>15000</v>
      </c>
      <c r="H45" s="673">
        <f>SUMIF(Inv!$B:$B,"sade",Inv!Q:Q)</f>
        <v>0</v>
      </c>
      <c r="I45" s="673">
        <f>SUMIF(Inv!$B:$B,"sade",Inv!R:R)</f>
        <v>0</v>
      </c>
      <c r="J45" s="673">
        <f>SUMIF(Inv!$B:$B,"sade",Inv!S:S)</f>
        <v>24954.999999999996</v>
      </c>
      <c r="K45" s="673">
        <f>SUMIF(Inv!$B:$B,"sade",Inv!T:T)</f>
        <v>0</v>
      </c>
      <c r="L45" s="673">
        <f>SUMIF(Inv!$B:$B,"sade",Inv!U:U)</f>
        <v>0</v>
      </c>
      <c r="M45" s="673">
        <f>SUMIF(Inv!$B:$B,"sade",Inv!V:V)</f>
        <v>0</v>
      </c>
      <c r="N45" s="673">
        <f>SUMIF(Inv!$B:$B,"sade",Inv!W:W)</f>
        <v>0</v>
      </c>
      <c r="O45" s="673">
        <f>SUMIF(Inv!$B:$B,"sade",Inv!X:X)</f>
        <v>0</v>
      </c>
      <c r="P45" s="673">
        <f>SUMIF(Inv!$B:$B,"sade",Inv!Y:Y)</f>
        <v>0</v>
      </c>
      <c r="Q45" s="673">
        <f>SUMIF(Inv!$B:$B,"sade",Inv!Z:Z)</f>
        <v>0</v>
      </c>
      <c r="R45" s="673">
        <f>SUMIF(Inv!$B:$B,"sade",Inv!AA:AA)</f>
        <v>0</v>
      </c>
      <c r="S45" s="688">
        <f t="shared" si="10"/>
        <v>0</v>
      </c>
      <c r="T45" s="689">
        <f>SUMIF(Inv!$B:$B,"sade",Inv!K:K)</f>
        <v>0</v>
      </c>
      <c r="U45" s="674">
        <f>SUMIF(Inv!$B:$B,"sade",Inv!L:L)</f>
        <v>39955</v>
      </c>
      <c r="V45" s="674">
        <f>SUMIF(Inv!$B:$B,"sade",Inv!M:M)</f>
        <v>0</v>
      </c>
    </row>
    <row r="46" spans="5:22" x14ac:dyDescent="0.2">
      <c r="E46" s="685" t="str">
        <f>IF(SUM(G46:R46)=Q18,"OK","VIGA")</f>
        <v>OK</v>
      </c>
      <c r="F46" s="693" t="s">
        <v>12</v>
      </c>
      <c r="G46" s="689">
        <f>SUM(G42:G45)</f>
        <v>842855</v>
      </c>
      <c r="H46" s="689">
        <f t="shared" ref="H46:V46" si="11">SUM(H42:H45)</f>
        <v>1402726.875</v>
      </c>
      <c r="I46" s="689">
        <f t="shared" si="11"/>
        <v>916064.375</v>
      </c>
      <c r="J46" s="689">
        <f t="shared" si="11"/>
        <v>1175472.5</v>
      </c>
      <c r="K46" s="689">
        <f t="shared" si="11"/>
        <v>862564.6875</v>
      </c>
      <c r="L46" s="689">
        <f t="shared" si="11"/>
        <v>862564.6875</v>
      </c>
      <c r="M46" s="689">
        <f t="shared" si="11"/>
        <v>862564.6875</v>
      </c>
      <c r="N46" s="689">
        <f t="shared" si="11"/>
        <v>862564.6875</v>
      </c>
      <c r="O46" s="689">
        <f t="shared" si="11"/>
        <v>862564.6875</v>
      </c>
      <c r="P46" s="689">
        <f t="shared" si="11"/>
        <v>862564.6875</v>
      </c>
      <c r="Q46" s="689">
        <f t="shared" si="11"/>
        <v>862564.6875</v>
      </c>
      <c r="R46" s="689">
        <f t="shared" si="11"/>
        <v>862564.6875</v>
      </c>
      <c r="S46" s="689">
        <f t="shared" si="11"/>
        <v>6900517.5</v>
      </c>
      <c r="T46" s="689">
        <f t="shared" si="11"/>
        <v>8785481.5</v>
      </c>
      <c r="U46" s="689">
        <f t="shared" si="11"/>
        <v>1619523.7500000002</v>
      </c>
      <c r="V46" s="689">
        <f t="shared" si="11"/>
        <v>832630.99999999988</v>
      </c>
    </row>
    <row r="47" spans="5:22" x14ac:dyDescent="0.2">
      <c r="J47" s="685" t="str">
        <f>IF(SUM(G46:J46)=$K$18,"OK","VIGA")</f>
        <v>OK</v>
      </c>
      <c r="R47" s="685" t="str">
        <f>IF(SUM(K46:R46)=$P$18,"OK","VIGA")</f>
        <v>OK</v>
      </c>
      <c r="S47" s="685"/>
      <c r="T47" s="685" t="str">
        <f>IF(T36=T46,"OK","VIGA")</f>
        <v>OK</v>
      </c>
      <c r="U47" s="685" t="str">
        <f t="shared" ref="U47:V47" si="12">IF(U36=U46,"OK","VIGA")</f>
        <v>OK</v>
      </c>
      <c r="V47" s="685" t="str">
        <f t="shared" si="12"/>
        <v>OK</v>
      </c>
    </row>
    <row r="48" spans="5:22" x14ac:dyDescent="0.2">
      <c r="F48" s="667" t="s">
        <v>1069</v>
      </c>
    </row>
    <row r="49" spans="6:21" x14ac:dyDescent="0.2">
      <c r="F49" s="694" t="s">
        <v>1041</v>
      </c>
      <c r="G49" s="673">
        <f>'Inv-amort'!F4+'Inv-amort'!F5+'Inv-amort'!F6</f>
        <v>169724.99999999997</v>
      </c>
      <c r="H49" s="673">
        <f>'Inv-amort'!G4+'Inv-amort'!G5+'Inv-amort'!G6</f>
        <v>267001.25</v>
      </c>
      <c r="I49" s="673">
        <f>'Inv-amort'!H4+'Inv-amort'!H5+'Inv-amort'!H6</f>
        <v>63163.75</v>
      </c>
      <c r="J49" s="673">
        <f>'Inv-amort'!I4+'Inv-amort'!I5+'Inv-amort'!I6</f>
        <v>86250</v>
      </c>
      <c r="K49" s="673">
        <f>'Inv-amort'!J4+'Inv-amort'!J5+'Inv-amort'!J6</f>
        <v>167280.4375</v>
      </c>
      <c r="L49" s="673">
        <f>'Inv-amort'!K4+'Inv-amort'!K5+'Inv-amort'!K6</f>
        <v>167280.4375</v>
      </c>
      <c r="M49" s="673">
        <f>'Inv-amort'!L4+'Inv-amort'!L5+'Inv-amort'!L6</f>
        <v>167280.4375</v>
      </c>
      <c r="N49" s="673">
        <f>'Inv-amort'!M4+'Inv-amort'!M5+'Inv-amort'!M6</f>
        <v>167280.4375</v>
      </c>
      <c r="O49" s="673">
        <f>'Inv-amort'!N4+'Inv-amort'!N5+'Inv-amort'!N6</f>
        <v>167280.4375</v>
      </c>
      <c r="P49" s="673">
        <f>'Inv-amort'!O4+'Inv-amort'!O5+'Inv-amort'!O6</f>
        <v>167280.4375</v>
      </c>
      <c r="Q49" s="673">
        <f>'Inv-amort'!P4+'Inv-amort'!P5+'Inv-amort'!P6</f>
        <v>167280.4375</v>
      </c>
      <c r="R49" s="673">
        <f>'Inv-amort'!Q4+'Inv-amort'!Q5+'Inv-amort'!Q6</f>
        <v>167280.4375</v>
      </c>
      <c r="S49" s="688">
        <f>SUM(G49:J49)</f>
        <v>586140</v>
      </c>
      <c r="T49" s="688">
        <f>SUM(K49:R49)</f>
        <v>1338243.5</v>
      </c>
      <c r="U49" s="688">
        <f>S49+T49</f>
        <v>1924383.5</v>
      </c>
    </row>
    <row r="50" spans="6:21" x14ac:dyDescent="0.2">
      <c r="F50" s="694" t="s">
        <v>1042</v>
      </c>
      <c r="G50" s="673">
        <f>'Inv-amort'!F11+'Inv-amort'!F12+'Inv-amort'!F13</f>
        <v>249362.5</v>
      </c>
      <c r="H50" s="673">
        <f>'Inv-amort'!G11+'Inv-amort'!G12+'Inv-amort'!G13</f>
        <v>363687.5</v>
      </c>
      <c r="I50" s="673">
        <f>'Inv-amort'!H11+'Inv-amort'!H12+'Inv-amort'!H13</f>
        <v>579962.5</v>
      </c>
      <c r="J50" s="673">
        <f>'Inv-amort'!I11+'Inv-amort'!I12+'Inv-amort'!I13</f>
        <v>527907.5</v>
      </c>
      <c r="K50" s="673">
        <f>'Inv-amort'!J11+'Inv-amort'!J12+'Inv-amort'!J13</f>
        <v>642522.24999999988</v>
      </c>
      <c r="L50" s="673">
        <f>'Inv-amort'!K11+'Inv-amort'!K12+'Inv-amort'!K13</f>
        <v>642522.24999999988</v>
      </c>
      <c r="M50" s="673">
        <f>'Inv-amort'!L11+'Inv-amort'!L12+'Inv-amort'!L13</f>
        <v>642522.24999999988</v>
      </c>
      <c r="N50" s="673">
        <f>'Inv-amort'!M11+'Inv-amort'!M12+'Inv-amort'!M13</f>
        <v>642522.24999999988</v>
      </c>
      <c r="O50" s="673">
        <f>'Inv-amort'!N11+'Inv-amort'!N12+'Inv-amort'!N13</f>
        <v>642522.24999999988</v>
      </c>
      <c r="P50" s="673">
        <f>'Inv-amort'!O11+'Inv-amort'!O12+'Inv-amort'!O13</f>
        <v>642522.24999999988</v>
      </c>
      <c r="Q50" s="673">
        <f>'Inv-amort'!P11+'Inv-amort'!P12+'Inv-amort'!P13</f>
        <v>642522.24999999988</v>
      </c>
      <c r="R50" s="673">
        <f>'Inv-amort'!Q11+'Inv-amort'!Q12+'Inv-amort'!Q13</f>
        <v>642522.24999999988</v>
      </c>
      <c r="S50" s="688">
        <f>SUM(G50:J50)</f>
        <v>1720920</v>
      </c>
      <c r="T50" s="688">
        <f>SUM(K50:R50)</f>
        <v>5140177.9999999991</v>
      </c>
      <c r="U50" s="688">
        <f t="shared" ref="U50:U51" si="13">S50+T50</f>
        <v>6861097.9999999991</v>
      </c>
    </row>
    <row r="51" spans="6:21" x14ac:dyDescent="0.2">
      <c r="F51" s="694" t="s">
        <v>12</v>
      </c>
      <c r="G51" s="695">
        <f>G49+G50</f>
        <v>419087.5</v>
      </c>
      <c r="H51" s="695">
        <f t="shared" ref="H51:R51" si="14">H49+H50</f>
        <v>630688.75</v>
      </c>
      <c r="I51" s="695">
        <f t="shared" si="14"/>
        <v>643126.25</v>
      </c>
      <c r="J51" s="695">
        <f t="shared" si="14"/>
        <v>614157.5</v>
      </c>
      <c r="K51" s="695">
        <f t="shared" si="14"/>
        <v>809802.68749999988</v>
      </c>
      <c r="L51" s="695">
        <f t="shared" si="14"/>
        <v>809802.68749999988</v>
      </c>
      <c r="M51" s="695">
        <f t="shared" si="14"/>
        <v>809802.68749999988</v>
      </c>
      <c r="N51" s="695">
        <f t="shared" si="14"/>
        <v>809802.68749999988</v>
      </c>
      <c r="O51" s="695">
        <f t="shared" si="14"/>
        <v>809802.68749999988</v>
      </c>
      <c r="P51" s="695">
        <f t="shared" si="14"/>
        <v>809802.68749999988</v>
      </c>
      <c r="Q51" s="695">
        <f t="shared" si="14"/>
        <v>809802.68749999988</v>
      </c>
      <c r="R51" s="695">
        <f t="shared" si="14"/>
        <v>809802.68749999988</v>
      </c>
      <c r="S51" s="688">
        <f>SUM(G51:J51)</f>
        <v>2307060</v>
      </c>
      <c r="T51" s="688">
        <f>SUM(K51:R51)</f>
        <v>6478421.4999999991</v>
      </c>
      <c r="U51" s="688">
        <f t="shared" si="13"/>
        <v>8785481.5</v>
      </c>
    </row>
  </sheetData>
  <mergeCells count="26">
    <mergeCell ref="A24:D24"/>
    <mergeCell ref="A4:A5"/>
    <mergeCell ref="F4:F5"/>
    <mergeCell ref="G4:K4"/>
    <mergeCell ref="L4:P4"/>
    <mergeCell ref="B4:D4"/>
    <mergeCell ref="A6:D6"/>
    <mergeCell ref="A17:D17"/>
    <mergeCell ref="A12:D12"/>
    <mergeCell ref="K22:R22"/>
    <mergeCell ref="F22:F23"/>
    <mergeCell ref="G22:J22"/>
    <mergeCell ref="F40:F41"/>
    <mergeCell ref="G40:J40"/>
    <mergeCell ref="R4:T4"/>
    <mergeCell ref="K40:R40"/>
    <mergeCell ref="Q4:Q5"/>
    <mergeCell ref="T40:T41"/>
    <mergeCell ref="U40:U41"/>
    <mergeCell ref="S22:S23"/>
    <mergeCell ref="S40:S41"/>
    <mergeCell ref="V40:V41"/>
    <mergeCell ref="V4:W4"/>
    <mergeCell ref="T22:T23"/>
    <mergeCell ref="U22:U23"/>
    <mergeCell ref="V22:V23"/>
  </mergeCells>
  <conditionalFormatting sqref="B30:D30 R47:V47">
    <cfRule type="containsText" dxfId="45" priority="26" operator="containsText" text="VIGA">
      <formula>NOT(ISERROR(SEARCH("VIGA",B30)))</formula>
    </cfRule>
  </conditionalFormatting>
  <conditionalFormatting sqref="E15:E16 E23">
    <cfRule type="containsText" dxfId="44" priority="28" operator="containsText" text="VIGA">
      <formula>NOT(ISERROR(SEARCH("VIGA",E15)))</formula>
    </cfRule>
  </conditionalFormatting>
  <conditionalFormatting sqref="E27:E29">
    <cfRule type="containsText" dxfId="43" priority="27" operator="containsText" text="VIGA">
      <formula>NOT(ISERROR(SEARCH("VIGA",E27)))</formula>
    </cfRule>
  </conditionalFormatting>
  <conditionalFormatting sqref="E36">
    <cfRule type="containsText" dxfId="42" priority="13" operator="containsText" text="VIGA">
      <formula>NOT(ISERROR(SEARCH("VIGA",E36)))</formula>
    </cfRule>
  </conditionalFormatting>
  <conditionalFormatting sqref="E46">
    <cfRule type="containsText" dxfId="41" priority="10" operator="containsText" text="VIGA">
      <formula>NOT(ISERROR(SEARCH("VIGA",E46)))</formula>
    </cfRule>
  </conditionalFormatting>
  <conditionalFormatting sqref="G6:J17 L6:O17 R6:S17 G24:S35 G42:S45">
    <cfRule type="cellIs" dxfId="40" priority="7" operator="equal">
      <formula>0</formula>
    </cfRule>
  </conditionalFormatting>
  <conditionalFormatting sqref="G19:T19">
    <cfRule type="containsText" dxfId="39" priority="4" operator="containsText" text="VIGA">
      <formula>NOT(ISERROR(SEARCH("VIGA",G19)))</formula>
    </cfRule>
  </conditionalFormatting>
  <conditionalFormatting sqref="J37">
    <cfRule type="containsText" dxfId="38" priority="12" operator="containsText" text="VIGA">
      <formula>NOT(ISERROR(SEARCH("VIGA",J37)))</formula>
    </cfRule>
  </conditionalFormatting>
  <conditionalFormatting sqref="J47">
    <cfRule type="containsText" dxfId="37" priority="9" operator="containsText" text="VIGA">
      <formula>NOT(ISERROR(SEARCH("VIGA",J47)))</formula>
    </cfRule>
  </conditionalFormatting>
  <conditionalFormatting sqref="R37:S37">
    <cfRule type="containsText" dxfId="36" priority="11" operator="containsText" text="VIGA">
      <formula>NOT(ISERROR(SEARCH("VIGA",R37)))</formula>
    </cfRule>
  </conditionalFormatting>
  <conditionalFormatting sqref="S49:U51">
    <cfRule type="cellIs" dxfId="35" priority="1" operator="equal">
      <formula>0</formula>
    </cfRule>
  </conditionalFormatting>
  <conditionalFormatting sqref="V37">
    <cfRule type="containsText" dxfId="34" priority="3" operator="containsText" text="VIGA">
      <formula>NOT(ISERROR(SEARCH("VIGA",V37)))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67EF-176C-47FC-9BAA-56474B788851}">
  <dimension ref="A1:R79"/>
  <sheetViews>
    <sheetView zoomScaleNormal="10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A21" sqref="A21"/>
    </sheetView>
  </sheetViews>
  <sheetFormatPr defaultColWidth="8.90625" defaultRowHeight="14.5" outlineLevelRow="1" x14ac:dyDescent="0.35"/>
  <cols>
    <col min="1" max="1" width="17" style="82" customWidth="1"/>
    <col min="2" max="2" width="12.36328125" style="82" customWidth="1"/>
    <col min="3" max="3" width="13" style="82" bestFit="1" customWidth="1"/>
    <col min="4" max="4" width="11.36328125" style="82" customWidth="1"/>
    <col min="5" max="5" width="7.90625" style="82" bestFit="1" customWidth="1"/>
    <col min="6" max="17" width="10.81640625" style="82" bestFit="1" customWidth="1"/>
    <col min="18" max="16384" width="8.90625" style="82"/>
  </cols>
  <sheetData>
    <row r="1" spans="1:17" x14ac:dyDescent="0.35">
      <c r="A1" s="8" t="s">
        <v>182</v>
      </c>
    </row>
    <row r="2" spans="1:17" ht="18.5" x14ac:dyDescent="0.45">
      <c r="A2" s="81" t="s">
        <v>56</v>
      </c>
    </row>
    <row r="3" spans="1:17" customFormat="1" x14ac:dyDescent="0.35">
      <c r="A3" s="25" t="s">
        <v>50</v>
      </c>
      <c r="B3" s="23" t="s">
        <v>12</v>
      </c>
      <c r="C3" s="23" t="s">
        <v>583</v>
      </c>
      <c r="D3" s="23" t="s">
        <v>595</v>
      </c>
      <c r="E3" s="24" t="s">
        <v>827</v>
      </c>
      <c r="F3" s="26">
        <v>2024</v>
      </c>
      <c r="G3" s="26">
        <v>2025</v>
      </c>
      <c r="H3" s="26">
        <v>2026</v>
      </c>
      <c r="I3" s="26">
        <v>2027</v>
      </c>
      <c r="J3" s="23">
        <v>2028</v>
      </c>
      <c r="K3" s="23">
        <v>2029</v>
      </c>
      <c r="L3" s="23">
        <v>2030</v>
      </c>
      <c r="M3" s="23">
        <v>2031</v>
      </c>
      <c r="N3" s="23">
        <v>2032</v>
      </c>
      <c r="O3" s="23">
        <v>2033</v>
      </c>
      <c r="P3" s="23">
        <v>2034</v>
      </c>
      <c r="Q3" s="23">
        <v>2035</v>
      </c>
    </row>
    <row r="4" spans="1:17" x14ac:dyDescent="0.35">
      <c r="A4" s="79" t="s">
        <v>828</v>
      </c>
      <c r="B4" s="83">
        <f>C4+D4</f>
        <v>402945</v>
      </c>
      <c r="C4" s="84">
        <f>SUMIFS(Inv!$K:$K,Inv!$A:$A,C$3,Inv!$B:$B,"vesi",Inv!$O:$O,15)</f>
        <v>278975</v>
      </c>
      <c r="D4" s="84">
        <f>SUMIFS(Inv!$K:$K,Inv!$A:$A,D$3,Inv!$B:$B,"vesi",Inv!$O:$O,15)</f>
        <v>123970</v>
      </c>
      <c r="E4" s="79"/>
      <c r="F4" s="79">
        <f>SUMIFS(Inv!AC:AC,Inv!$B:$B,"vesi",Inv!$O:$O,15)</f>
        <v>169724.99999999997</v>
      </c>
      <c r="G4" s="79">
        <f>SUMIFS(Inv!AD:AD,Inv!$B:$B,"vesi",Inv!$O:$O,15)</f>
        <v>23000</v>
      </c>
      <c r="H4" s="79">
        <f>SUMIFS(Inv!AE:AE,Inv!$B:$B,"vesi",Inv!$O:$O,15)</f>
        <v>0</v>
      </c>
      <c r="I4" s="79">
        <f>SUMIFS(Inv!AF:AF,Inv!$B:$B,"vesi",Inv!$O:$O,15)</f>
        <v>86250</v>
      </c>
      <c r="J4" s="79">
        <f>SUMIFS(Inv!AG:AG,Inv!$B:$B,"vesi",Inv!$O:$O,15)</f>
        <v>15496.25</v>
      </c>
      <c r="K4" s="79">
        <f>SUMIFS(Inv!AH:AH,Inv!$B:$B,"vesi",Inv!$O:$O,15)</f>
        <v>15496.25</v>
      </c>
      <c r="L4" s="79">
        <f>SUMIFS(Inv!AI:AI,Inv!$B:$B,"vesi",Inv!$O:$O,15)</f>
        <v>15496.25</v>
      </c>
      <c r="M4" s="79">
        <f>SUMIFS(Inv!AJ:AJ,Inv!$B:$B,"vesi",Inv!$O:$O,15)</f>
        <v>15496.25</v>
      </c>
      <c r="N4" s="79">
        <f>SUMIFS(Inv!AK:AK,Inv!$B:$B,"vesi",Inv!$O:$O,15)</f>
        <v>15496.25</v>
      </c>
      <c r="O4" s="79">
        <f>SUMIFS(Inv!AL:AL,Inv!$B:$B,"vesi",Inv!$O:$O,15)</f>
        <v>15496.25</v>
      </c>
      <c r="P4" s="79">
        <f>SUMIFS(Inv!AM:AM,Inv!$B:$B,"vesi",Inv!$O:$O,15)</f>
        <v>15496.25</v>
      </c>
      <c r="Q4" s="79">
        <f>SUMIFS(Inv!AN:AN,Inv!$B:$B,"vesi",Inv!$O:$O,15)</f>
        <v>15496.25</v>
      </c>
    </row>
    <row r="5" spans="1:17" x14ac:dyDescent="0.35">
      <c r="A5" s="79" t="s">
        <v>53</v>
      </c>
      <c r="B5" s="83">
        <f>C5+D5</f>
        <v>554989.99999999988</v>
      </c>
      <c r="C5" s="84">
        <f>SUMIFS(Inv!$K:$K,Inv!$A:$A,C$3,Inv!$B:$B,"vesi",Inv!$O:$O,25)</f>
        <v>17250</v>
      </c>
      <c r="D5" s="84">
        <f>SUMIFS(Inv!$K:$K,Inv!$A:$A,D$3,Inv!$B:$B,"vesi",Inv!$O:$O,25)</f>
        <v>537739.99999999988</v>
      </c>
      <c r="E5" s="79"/>
      <c r="F5" s="79">
        <f>SUMIFS(Inv!AC:AC,Inv!$B:$B,"vesi",Inv!$O:$O,25)</f>
        <v>0</v>
      </c>
      <c r="G5" s="79">
        <f>SUMIFS(Inv!AD:AD,Inv!$B:$B,"vesi",Inv!$O:$O,25)</f>
        <v>0</v>
      </c>
      <c r="H5" s="79">
        <f>SUMIFS(Inv!AE:AE,Inv!$B:$B,"vesi",Inv!$O:$O,25)</f>
        <v>17250</v>
      </c>
      <c r="I5" s="79">
        <f>SUMIFS(Inv!AF:AF,Inv!$B:$B,"vesi",Inv!$O:$O,25)</f>
        <v>0</v>
      </c>
      <c r="J5" s="79">
        <f>SUMIFS(Inv!AG:AG,Inv!$B:$B,"vesi",Inv!$O:$O,25)</f>
        <v>67217.499999999985</v>
      </c>
      <c r="K5" s="79">
        <f>SUMIFS(Inv!AH:AH,Inv!$B:$B,"vesi",Inv!$O:$O,25)</f>
        <v>67217.499999999985</v>
      </c>
      <c r="L5" s="79">
        <f>SUMIFS(Inv!AI:AI,Inv!$B:$B,"vesi",Inv!$O:$O,25)</f>
        <v>67217.499999999985</v>
      </c>
      <c r="M5" s="79">
        <f>SUMIFS(Inv!AJ:AJ,Inv!$B:$B,"vesi",Inv!$O:$O,25)</f>
        <v>67217.499999999985</v>
      </c>
      <c r="N5" s="79">
        <f>SUMIFS(Inv!AK:AK,Inv!$B:$B,"vesi",Inv!$O:$O,25)</f>
        <v>67217.499999999985</v>
      </c>
      <c r="O5" s="79">
        <f>SUMIFS(Inv!AL:AL,Inv!$B:$B,"vesi",Inv!$O:$O,25)</f>
        <v>67217.499999999985</v>
      </c>
      <c r="P5" s="79">
        <f>SUMIFS(Inv!AM:AM,Inv!$B:$B,"vesi",Inv!$O:$O,25)</f>
        <v>67217.499999999985</v>
      </c>
      <c r="Q5" s="79">
        <f>SUMIFS(Inv!AN:AN,Inv!$B:$B,"vesi",Inv!$O:$O,25)</f>
        <v>67217.499999999985</v>
      </c>
    </row>
    <row r="6" spans="1:17" x14ac:dyDescent="0.35">
      <c r="A6" s="79" t="s">
        <v>829</v>
      </c>
      <c r="B6" s="83">
        <f>C6+D6</f>
        <v>966448.5</v>
      </c>
      <c r="C6" s="84">
        <f>SUMIFS(Inv!$K:$K,Inv!$A:$A,C$3,Inv!$B:$B,"vesi",Inv!$O:$O,50)</f>
        <v>289915</v>
      </c>
      <c r="D6" s="84">
        <f>SUMIFS(Inv!$K:$K,Inv!$A:$A,D$3,Inv!$B:$B,"vesi",Inv!$O:$O,50)</f>
        <v>676533.5</v>
      </c>
      <c r="E6" s="89"/>
      <c r="F6" s="79">
        <f>SUMIFS(Inv!AC:AC,Inv!$B:$B,"vesi",Inv!$O:$O,50)</f>
        <v>0</v>
      </c>
      <c r="G6" s="79">
        <f>SUMIFS(Inv!AD:AD,Inv!$B:$B,"vesi",Inv!$O:$O,50)</f>
        <v>244001.25</v>
      </c>
      <c r="H6" s="79">
        <f>SUMIFS(Inv!AE:AE,Inv!$B:$B,"vesi",Inv!$O:$O,50)</f>
        <v>45913.75</v>
      </c>
      <c r="I6" s="79">
        <f>SUMIFS(Inv!AF:AF,Inv!$B:$B,"vesi",Inv!$O:$O,50)</f>
        <v>0</v>
      </c>
      <c r="J6" s="79">
        <f>SUMIFS(Inv!AG:AG,Inv!$B:$B,"vesi",Inv!$O:$O,50)</f>
        <v>84566.6875</v>
      </c>
      <c r="K6" s="79">
        <f>SUMIFS(Inv!AH:AH,Inv!$B:$B,"vesi",Inv!$O:$O,50)</f>
        <v>84566.6875</v>
      </c>
      <c r="L6" s="79">
        <f>SUMIFS(Inv!AI:AI,Inv!$B:$B,"vesi",Inv!$O:$O,50)</f>
        <v>84566.6875</v>
      </c>
      <c r="M6" s="79">
        <f>SUMIFS(Inv!AJ:AJ,Inv!$B:$B,"vesi",Inv!$O:$O,50)</f>
        <v>84566.6875</v>
      </c>
      <c r="N6" s="79">
        <f>SUMIFS(Inv!AK:AK,Inv!$B:$B,"vesi",Inv!$O:$O,50)</f>
        <v>84566.6875</v>
      </c>
      <c r="O6" s="79">
        <f>SUMIFS(Inv!AL:AL,Inv!$B:$B,"vesi",Inv!$O:$O,50)</f>
        <v>84566.6875</v>
      </c>
      <c r="P6" s="79">
        <f>SUMIFS(Inv!AM:AM,Inv!$B:$B,"vesi",Inv!$O:$O,50)</f>
        <v>84566.6875</v>
      </c>
      <c r="Q6" s="79">
        <f>SUMIFS(Inv!AN:AN,Inv!$B:$B,"vesi",Inv!$O:$O,50)</f>
        <v>84566.6875</v>
      </c>
    </row>
    <row r="7" spans="1:17" s="90" customFormat="1" x14ac:dyDescent="0.35">
      <c r="A7" s="529"/>
      <c r="B7" s="642" t="str">
        <f>IF(B8='Inv-koond'!$T$42+'Inv-koond'!$T$43,"OK","VIGA")</f>
        <v>OK</v>
      </c>
      <c r="C7" s="530"/>
      <c r="D7" s="640" t="s">
        <v>55</v>
      </c>
      <c r="E7" s="529"/>
      <c r="F7" s="529">
        <f>E7+F4/15+F5/25+F6/50</f>
        <v>11314.999999999998</v>
      </c>
      <c r="G7" s="529">
        <f t="shared" ref="G7:Q7" si="0">F7+G4/15+G5/25+G6/50</f>
        <v>17728.35833333333</v>
      </c>
      <c r="H7" s="529">
        <f t="shared" si="0"/>
        <v>19336.633333333331</v>
      </c>
      <c r="I7" s="529">
        <f t="shared" si="0"/>
        <v>25086.633333333331</v>
      </c>
      <c r="J7" s="529">
        <f t="shared" si="0"/>
        <v>30499.750416666666</v>
      </c>
      <c r="K7" s="529">
        <f t="shared" si="0"/>
        <v>35912.867499999993</v>
      </c>
      <c r="L7" s="529">
        <f t="shared" si="0"/>
        <v>41325.984583333324</v>
      </c>
      <c r="M7" s="529">
        <f t="shared" si="0"/>
        <v>46739.101666666655</v>
      </c>
      <c r="N7" s="529">
        <f t="shared" si="0"/>
        <v>52152.218749999985</v>
      </c>
      <c r="O7" s="529">
        <f t="shared" si="0"/>
        <v>57565.335833333316</v>
      </c>
      <c r="P7" s="529">
        <f t="shared" si="0"/>
        <v>62978.452916666647</v>
      </c>
      <c r="Q7" s="529">
        <f t="shared" si="0"/>
        <v>68391.569999999992</v>
      </c>
    </row>
    <row r="8" spans="1:17" s="91" customFormat="1" x14ac:dyDescent="0.35">
      <c r="A8" s="85" t="s">
        <v>12</v>
      </c>
      <c r="B8" s="85">
        <f>SUM(B4:B6)</f>
        <v>1924383.5</v>
      </c>
      <c r="C8" s="85"/>
      <c r="D8" s="641" t="s">
        <v>54</v>
      </c>
      <c r="E8" s="85"/>
      <c r="F8" s="85">
        <f>E8+F4+F5+F6-F7</f>
        <v>158409.99999999997</v>
      </c>
      <c r="G8" s="85">
        <f t="shared" ref="G8:Q8" si="1">F8+G4+G5+G6-G7</f>
        <v>407682.89166666666</v>
      </c>
      <c r="H8" s="85">
        <f t="shared" si="1"/>
        <v>451510.0083333333</v>
      </c>
      <c r="I8" s="85">
        <f t="shared" si="1"/>
        <v>512673.375</v>
      </c>
      <c r="J8" s="85">
        <f t="shared" si="1"/>
        <v>649454.06208333338</v>
      </c>
      <c r="K8" s="85">
        <f t="shared" si="1"/>
        <v>780821.63208333333</v>
      </c>
      <c r="L8" s="85">
        <f t="shared" si="1"/>
        <v>906776.08499999996</v>
      </c>
      <c r="M8" s="85">
        <f t="shared" si="1"/>
        <v>1027317.4208333333</v>
      </c>
      <c r="N8" s="85">
        <f t="shared" si="1"/>
        <v>1142445.6395833332</v>
      </c>
      <c r="O8" s="85">
        <f t="shared" si="1"/>
        <v>1252160.74125</v>
      </c>
      <c r="P8" s="85">
        <f t="shared" si="1"/>
        <v>1356462.7258333333</v>
      </c>
      <c r="Q8" s="85">
        <f t="shared" si="1"/>
        <v>1455351.5933333333</v>
      </c>
    </row>
    <row r="9" spans="1:17" ht="18.5" x14ac:dyDescent="0.45">
      <c r="A9" s="81" t="s">
        <v>57</v>
      </c>
      <c r="I9" s="86" t="str">
        <f>IF(SUM(C4,C5,C6)=SUM(E4:I6),"OK","VIGA")</f>
        <v>OK</v>
      </c>
      <c r="Q9" s="86" t="str">
        <f>IF(SUM(D4,D5,D6)=SUM(J4:Q6),"OK","VIGA")</f>
        <v>OK</v>
      </c>
    </row>
    <row r="10" spans="1:17" customFormat="1" x14ac:dyDescent="0.35">
      <c r="A10" s="25" t="s">
        <v>50</v>
      </c>
      <c r="B10" s="23" t="s">
        <v>12</v>
      </c>
      <c r="C10" s="23" t="s">
        <v>583</v>
      </c>
      <c r="D10" s="23" t="s">
        <v>595</v>
      </c>
      <c r="E10" s="24" t="s">
        <v>827</v>
      </c>
      <c r="F10" s="26">
        <v>2024</v>
      </c>
      <c r="G10" s="26">
        <v>2025</v>
      </c>
      <c r="H10" s="26">
        <v>2026</v>
      </c>
      <c r="I10" s="26">
        <v>2027</v>
      </c>
      <c r="J10" s="23">
        <v>2028</v>
      </c>
      <c r="K10" s="23">
        <v>2029</v>
      </c>
      <c r="L10" s="23">
        <v>2030</v>
      </c>
      <c r="M10" s="23">
        <v>2031</v>
      </c>
      <c r="N10" s="23">
        <v>2032</v>
      </c>
      <c r="O10" s="23">
        <v>2033</v>
      </c>
      <c r="P10" s="23">
        <v>2034</v>
      </c>
      <c r="Q10" s="23">
        <v>2035</v>
      </c>
    </row>
    <row r="11" spans="1:17" s="94" customFormat="1" x14ac:dyDescent="0.35">
      <c r="A11" s="525" t="s">
        <v>828</v>
      </c>
      <c r="B11" s="83">
        <f>C11+D11</f>
        <v>1368100</v>
      </c>
      <c r="C11" s="84">
        <f>SUMIFS(Inv!$K:$K,Inv!$A:$A,C$3,Inv!$B:$B,"kanal",Inv!$O:$O,15)</f>
        <v>1071400</v>
      </c>
      <c r="D11" s="84">
        <f>SUMIFS(Inv!$K:$K,Inv!$A:$A,D$3,Inv!$B:$B,"kanal",Inv!$O:$O,15)</f>
        <v>296699.99999999994</v>
      </c>
      <c r="E11" s="92"/>
      <c r="F11" s="79">
        <f>SUMIFS(Inv!AC:AC,Inv!$B:$B,"kanal",Inv!$O:$O,15)</f>
        <v>220900</v>
      </c>
      <c r="G11" s="79">
        <f>SUMIFS(Inv!AD:AD,Inv!$B:$B,"kanal",Inv!$O:$O,15)</f>
        <v>287500</v>
      </c>
      <c r="H11" s="79">
        <f>SUMIFS(Inv!AE:AE,Inv!$B:$B,"kanal",Inv!$O:$O,15)</f>
        <v>551500</v>
      </c>
      <c r="I11" s="79">
        <f>SUMIFS(Inv!AF:AF,Inv!$B:$B,"kanal",Inv!$O:$O,15)</f>
        <v>11500</v>
      </c>
      <c r="J11" s="79">
        <f>SUMIFS(Inv!AG:AG,Inv!$B:$B,"kanal",Inv!$O:$O,15)</f>
        <v>37087.499999999993</v>
      </c>
      <c r="K11" s="79">
        <f>SUMIFS(Inv!AH:AH,Inv!$B:$B,"kanal",Inv!$O:$O,15)</f>
        <v>37087.499999999993</v>
      </c>
      <c r="L11" s="79">
        <f>SUMIFS(Inv!AI:AI,Inv!$B:$B,"kanal",Inv!$O:$O,15)</f>
        <v>37087.499999999993</v>
      </c>
      <c r="M11" s="79">
        <f>SUMIFS(Inv!AJ:AJ,Inv!$B:$B,"kanal",Inv!$O:$O,15)</f>
        <v>37087.499999999993</v>
      </c>
      <c r="N11" s="79">
        <f>SUMIFS(Inv!AK:AK,Inv!$B:$B,"kanal",Inv!$O:$O,15)</f>
        <v>37087.499999999993</v>
      </c>
      <c r="O11" s="79">
        <f>SUMIFS(Inv!AL:AL,Inv!$B:$B,"kanal",Inv!$O:$O,15)</f>
        <v>37087.499999999993</v>
      </c>
      <c r="P11" s="79">
        <f>SUMIFS(Inv!AM:AM,Inv!$B:$B,"kanal",Inv!$O:$O,15)</f>
        <v>37087.499999999993</v>
      </c>
      <c r="Q11" s="79">
        <f>SUMIFS(Inv!AN:AN,Inv!$B:$B,"kanal",Inv!$O:$O,15)</f>
        <v>37087.499999999993</v>
      </c>
    </row>
    <row r="12" spans="1:17" x14ac:dyDescent="0.35">
      <c r="A12" s="79" t="s">
        <v>53</v>
      </c>
      <c r="B12" s="83">
        <f>C12+D12</f>
        <v>770068.75</v>
      </c>
      <c r="C12" s="84">
        <f>SUMIFS(Inv!$K:$K,Inv!$A:$A,C$3,Inv!$B:$B,"kanal",Inv!$O:$O,25)</f>
        <v>306618.75</v>
      </c>
      <c r="D12" s="84">
        <f>SUMIFS(Inv!$K:$K,Inv!$A:$A,D$3,Inv!$B:$B,"kanal",Inv!$O:$O,25)</f>
        <v>463449.99999999994</v>
      </c>
      <c r="E12" s="89"/>
      <c r="F12" s="79">
        <f>SUMIFS(Inv!AC:AC,Inv!$B:$B,"kanal",Inv!$O:$O,25)</f>
        <v>0</v>
      </c>
      <c r="G12" s="79">
        <f>SUMIFS(Inv!AD:AD,Inv!$B:$B,"kanal",Inv!$O:$O,25)</f>
        <v>47725</v>
      </c>
      <c r="H12" s="79">
        <f>SUMIFS(Inv!AE:AE,Inv!$B:$B,"kanal",Inv!$O:$O,25)</f>
        <v>0</v>
      </c>
      <c r="I12" s="79">
        <f>SUMIFS(Inv!AF:AF,Inv!$B:$B,"kanal",Inv!$O:$O,25)</f>
        <v>258893.74999999997</v>
      </c>
      <c r="J12" s="79">
        <f>SUMIFS(Inv!AG:AG,Inv!$B:$B,"kanal",Inv!$O:$O,25)</f>
        <v>57931.249999999985</v>
      </c>
      <c r="K12" s="79">
        <f>SUMIFS(Inv!AH:AH,Inv!$B:$B,"kanal",Inv!$O:$O,25)</f>
        <v>57931.249999999985</v>
      </c>
      <c r="L12" s="79">
        <f>SUMIFS(Inv!AI:AI,Inv!$B:$B,"kanal",Inv!$O:$O,25)</f>
        <v>57931.249999999985</v>
      </c>
      <c r="M12" s="79">
        <f>SUMIFS(Inv!AJ:AJ,Inv!$B:$B,"kanal",Inv!$O:$O,25)</f>
        <v>57931.249999999985</v>
      </c>
      <c r="N12" s="79">
        <f>SUMIFS(Inv!AK:AK,Inv!$B:$B,"kanal",Inv!$O:$O,25)</f>
        <v>57931.249999999985</v>
      </c>
      <c r="O12" s="79">
        <f>SUMIFS(Inv!AL:AL,Inv!$B:$B,"kanal",Inv!$O:$O,25)</f>
        <v>57931.249999999985</v>
      </c>
      <c r="P12" s="79">
        <f>SUMIFS(Inv!AM:AM,Inv!$B:$B,"kanal",Inv!$O:$O,25)</f>
        <v>57931.249999999985</v>
      </c>
      <c r="Q12" s="79">
        <f>SUMIFS(Inv!AN:AN,Inv!$B:$B,"kanal",Inv!$O:$O,25)</f>
        <v>57931.249999999985</v>
      </c>
    </row>
    <row r="13" spans="1:17" x14ac:dyDescent="0.35">
      <c r="A13" s="79" t="s">
        <v>829</v>
      </c>
      <c r="B13" s="83">
        <f>C13+D13</f>
        <v>4722929.2499999991</v>
      </c>
      <c r="C13" s="84">
        <f>SUMIFS(Inv!$K:$K,Inv!$A:$A,C$3,Inv!$B:$B,"kanal",Inv!$O:$O,50)</f>
        <v>342901.25</v>
      </c>
      <c r="D13" s="84">
        <f>SUMIFS(Inv!$K:$K,Inv!$A:$A,D$3,Inv!$B:$B,"kanal",Inv!$O:$O,50)</f>
        <v>4380027.9999999991</v>
      </c>
      <c r="E13" s="89"/>
      <c r="F13" s="79">
        <f>SUMIFS(Inv!AC:AC,Inv!$B:$B,"kanal",Inv!$O:$O,50)</f>
        <v>28462.499999999996</v>
      </c>
      <c r="G13" s="79">
        <f>SUMIFS(Inv!AD:AD,Inv!$B:$B,"kanal",Inv!$O:$O,50)</f>
        <v>28462.499999999996</v>
      </c>
      <c r="H13" s="79">
        <f>SUMIFS(Inv!AE:AE,Inv!$B:$B,"kanal",Inv!$O:$O,50)</f>
        <v>28462.499999999996</v>
      </c>
      <c r="I13" s="79">
        <f>SUMIFS(Inv!AF:AF,Inv!$B:$B,"kanal",Inv!$O:$O,50)</f>
        <v>257513.75</v>
      </c>
      <c r="J13" s="79">
        <f>SUMIFS(Inv!AG:AG,Inv!$B:$B,"kanal",Inv!$O:$O,50)</f>
        <v>547503.49999999988</v>
      </c>
      <c r="K13" s="79">
        <f>SUMIFS(Inv!AH:AH,Inv!$B:$B,"kanal",Inv!$O:$O,50)</f>
        <v>547503.49999999988</v>
      </c>
      <c r="L13" s="79">
        <f>SUMIFS(Inv!AI:AI,Inv!$B:$B,"kanal",Inv!$O:$O,50)</f>
        <v>547503.49999999988</v>
      </c>
      <c r="M13" s="79">
        <f>SUMIFS(Inv!AJ:AJ,Inv!$B:$B,"kanal",Inv!$O:$O,50)</f>
        <v>547503.49999999988</v>
      </c>
      <c r="N13" s="79">
        <f>SUMIFS(Inv!AK:AK,Inv!$B:$B,"kanal",Inv!$O:$O,50)</f>
        <v>547503.49999999988</v>
      </c>
      <c r="O13" s="79">
        <f>SUMIFS(Inv!AL:AL,Inv!$B:$B,"kanal",Inv!$O:$O,50)</f>
        <v>547503.49999999988</v>
      </c>
      <c r="P13" s="79">
        <f>SUMIFS(Inv!AM:AM,Inv!$B:$B,"kanal",Inv!$O:$O,50)</f>
        <v>547503.49999999988</v>
      </c>
      <c r="Q13" s="79">
        <f>SUMIFS(Inv!AN:AN,Inv!$B:$B,"kanal",Inv!$O:$O,50)</f>
        <v>547503.49999999988</v>
      </c>
    </row>
    <row r="14" spans="1:17" s="90" customFormat="1" x14ac:dyDescent="0.35">
      <c r="A14" s="529"/>
      <c r="B14" s="642" t="str">
        <f>IF(B15='Inv-koond'!T44,"OK","VIGA")</f>
        <v>OK</v>
      </c>
      <c r="C14" s="530"/>
      <c r="D14" s="640" t="s">
        <v>55</v>
      </c>
      <c r="E14" s="529"/>
      <c r="F14" s="529">
        <f>E14+F11/15+F12/25+F13/50</f>
        <v>15295.916666666666</v>
      </c>
      <c r="G14" s="529">
        <f t="shared" ref="G14:Q14" si="2">F14+G11/15+G12/25+G13/50</f>
        <v>36940.833333333336</v>
      </c>
      <c r="H14" s="529">
        <f t="shared" si="2"/>
        <v>74276.75</v>
      </c>
      <c r="I14" s="529">
        <f t="shared" si="2"/>
        <v>90549.441666666666</v>
      </c>
      <c r="J14" s="529">
        <f t="shared" si="2"/>
        <v>106289.26166666666</v>
      </c>
      <c r="K14" s="529">
        <f t="shared" si="2"/>
        <v>122029.08166666665</v>
      </c>
      <c r="L14" s="529">
        <f t="shared" si="2"/>
        <v>137768.90166666664</v>
      </c>
      <c r="M14" s="529">
        <f t="shared" si="2"/>
        <v>153508.72166666665</v>
      </c>
      <c r="N14" s="529">
        <f t="shared" si="2"/>
        <v>169248.54166666666</v>
      </c>
      <c r="O14" s="529">
        <f t="shared" si="2"/>
        <v>184988.36166666666</v>
      </c>
      <c r="P14" s="529">
        <f t="shared" si="2"/>
        <v>200728.18166666667</v>
      </c>
      <c r="Q14" s="529">
        <f t="shared" si="2"/>
        <v>216468.00166666668</v>
      </c>
    </row>
    <row r="15" spans="1:17" s="91" customFormat="1" x14ac:dyDescent="0.35">
      <c r="A15" s="85" t="s">
        <v>12</v>
      </c>
      <c r="B15" s="85">
        <f>SUM(B11:B13)</f>
        <v>6861097.9999999991</v>
      </c>
      <c r="C15" s="85"/>
      <c r="D15" s="641" t="s">
        <v>54</v>
      </c>
      <c r="E15" s="85"/>
      <c r="F15" s="85">
        <f>E15+F11+F12+F13-F14</f>
        <v>234066.58333333334</v>
      </c>
      <c r="G15" s="85">
        <f t="shared" ref="G15:Q15" si="3">F15+G11+G12+G13-G14</f>
        <v>560813.25</v>
      </c>
      <c r="H15" s="85">
        <f t="shared" si="3"/>
        <v>1066499</v>
      </c>
      <c r="I15" s="85">
        <f t="shared" si="3"/>
        <v>1503857.0583333333</v>
      </c>
      <c r="J15" s="85">
        <f t="shared" si="3"/>
        <v>2040090.0466666664</v>
      </c>
      <c r="K15" s="85">
        <f t="shared" si="3"/>
        <v>2560583.2149999999</v>
      </c>
      <c r="L15" s="85">
        <f t="shared" si="3"/>
        <v>3065336.563333333</v>
      </c>
      <c r="M15" s="85">
        <f t="shared" si="3"/>
        <v>3554350.0916666663</v>
      </c>
      <c r="N15" s="85">
        <f t="shared" si="3"/>
        <v>4027623.7999999993</v>
      </c>
      <c r="O15" s="85">
        <f t="shared" si="3"/>
        <v>4485157.6883333325</v>
      </c>
      <c r="P15" s="85">
        <f t="shared" si="3"/>
        <v>4926951.7566666659</v>
      </c>
      <c r="Q15" s="85">
        <f t="shared" si="3"/>
        <v>5353006.004999999</v>
      </c>
    </row>
    <row r="16" spans="1:17" x14ac:dyDescent="0.35">
      <c r="B16" s="86" t="str">
        <f>IF(SUM(B4:B6,B11:B13)='Inv-koond'!$T$36,"OK","VIGA")</f>
        <v>OK</v>
      </c>
      <c r="C16" s="86"/>
      <c r="D16" s="86"/>
      <c r="I16" s="86" t="str">
        <f>IF(SUM(C11,C12,C13)=SUM(E11:I13),"OK","VIGA")</f>
        <v>OK</v>
      </c>
      <c r="Q16" s="86" t="str">
        <f>IF(SUM(D11,D12,D13)=SUM(J11:Q13),"OK","VIGA")</f>
        <v>OK</v>
      </c>
    </row>
    <row r="17" spans="1:18" ht="18.5" outlineLevel="1" x14ac:dyDescent="0.45">
      <c r="A17" s="87" t="s">
        <v>923</v>
      </c>
    </row>
    <row r="18" spans="1:18" customFormat="1" outlineLevel="1" x14ac:dyDescent="0.35">
      <c r="A18" s="95" t="s">
        <v>50</v>
      </c>
      <c r="B18" s="23" t="s">
        <v>12</v>
      </c>
      <c r="C18" s="23" t="s">
        <v>583</v>
      </c>
      <c r="D18" s="23" t="s">
        <v>595</v>
      </c>
      <c r="E18" s="24" t="s">
        <v>827</v>
      </c>
      <c r="F18" s="26">
        <v>2024</v>
      </c>
      <c r="G18" s="26">
        <v>2025</v>
      </c>
      <c r="H18" s="26">
        <v>2026</v>
      </c>
      <c r="I18" s="26">
        <v>2027</v>
      </c>
      <c r="J18" s="23">
        <v>2028</v>
      </c>
      <c r="K18" s="23">
        <v>2029</v>
      </c>
      <c r="L18" s="23">
        <v>2030</v>
      </c>
      <c r="M18" s="23">
        <v>2031</v>
      </c>
      <c r="N18" s="23">
        <v>2032</v>
      </c>
      <c r="O18" s="23">
        <v>2033</v>
      </c>
      <c r="P18" s="23">
        <v>2034</v>
      </c>
      <c r="Q18" s="23">
        <v>2035</v>
      </c>
      <c r="R18" s="531" t="s">
        <v>833</v>
      </c>
    </row>
    <row r="19" spans="1:18" ht="22" outlineLevel="1" x14ac:dyDescent="0.35">
      <c r="A19" s="528" t="s">
        <v>831</v>
      </c>
      <c r="B19" s="83">
        <f>C19+D19</f>
        <v>431537.49999999994</v>
      </c>
      <c r="C19" s="84">
        <f t="shared" ref="C19:C24" si="4">SUM(F19:I19)</f>
        <v>431537.49999999994</v>
      </c>
      <c r="D19" s="84">
        <f t="shared" ref="D19:D24" si="5">SUM(J19:Q19)</f>
        <v>0</v>
      </c>
      <c r="E19" s="79"/>
      <c r="F19" s="79">
        <f>Inv!P193</f>
        <v>0</v>
      </c>
      <c r="G19" s="79">
        <f>Inv!Q193</f>
        <v>0</v>
      </c>
      <c r="H19" s="79">
        <f>Inv!R193</f>
        <v>0</v>
      </c>
      <c r="I19" s="79">
        <f>Inv!J188</f>
        <v>431537.49999999994</v>
      </c>
      <c r="J19" s="79">
        <f>Inv!T193</f>
        <v>0</v>
      </c>
      <c r="K19" s="79">
        <f>Inv!U193</f>
        <v>0</v>
      </c>
      <c r="L19" s="79">
        <f>Inv!V193</f>
        <v>0</v>
      </c>
      <c r="M19" s="79">
        <f>Inv!W193</f>
        <v>0</v>
      </c>
      <c r="N19" s="79">
        <f>Inv!X193</f>
        <v>0</v>
      </c>
      <c r="O19" s="79">
        <f>Inv!Y193</f>
        <v>0</v>
      </c>
      <c r="P19" s="79">
        <f>Inv!Z193</f>
        <v>0</v>
      </c>
      <c r="Q19" s="79">
        <f>Inv!AA193</f>
        <v>0</v>
      </c>
      <c r="R19" s="532">
        <v>0.55000000000000004</v>
      </c>
    </row>
    <row r="20" spans="1:18" ht="22" outlineLevel="1" x14ac:dyDescent="0.35">
      <c r="A20" s="528" t="s">
        <v>832</v>
      </c>
      <c r="B20" s="83">
        <f>C20+D20</f>
        <v>495132.5</v>
      </c>
      <c r="C20" s="84">
        <f t="shared" si="4"/>
        <v>495132.5</v>
      </c>
      <c r="D20" s="84">
        <f t="shared" si="5"/>
        <v>0</v>
      </c>
      <c r="E20" s="79"/>
      <c r="F20" s="79">
        <f>Inv!P189+Inv!P190</f>
        <v>0</v>
      </c>
      <c r="G20" s="79">
        <f>Inv!Q189+Inv!Q190</f>
        <v>0</v>
      </c>
      <c r="H20" s="79">
        <f>Inv!R189+Inv!R190</f>
        <v>0</v>
      </c>
      <c r="I20" s="79">
        <f>Inv!J191+Inv!J192+Inv!J193</f>
        <v>495132.5</v>
      </c>
      <c r="J20" s="79">
        <f>Inv!T189+Inv!T190</f>
        <v>0</v>
      </c>
      <c r="K20" s="79">
        <f>Inv!U189+Inv!U190</f>
        <v>0</v>
      </c>
      <c r="L20" s="79">
        <f>Inv!V189+Inv!V190</f>
        <v>0</v>
      </c>
      <c r="M20" s="79">
        <f>Inv!W189+Inv!W190</f>
        <v>0</v>
      </c>
      <c r="N20" s="79">
        <f>Inv!X189+Inv!X190</f>
        <v>0</v>
      </c>
      <c r="O20" s="79">
        <f>Inv!Y189+Inv!Y190</f>
        <v>0</v>
      </c>
      <c r="P20" s="79">
        <f>Inv!Z189+Inv!Z190</f>
        <v>0</v>
      </c>
      <c r="Q20" s="79">
        <f>Inv!AA189+Inv!AA190</f>
        <v>0</v>
      </c>
      <c r="R20" s="532">
        <v>0.55000000000000004</v>
      </c>
    </row>
    <row r="21" spans="1:18" outlineLevel="1" x14ac:dyDescent="0.35">
      <c r="A21" s="528"/>
      <c r="B21" s="83"/>
      <c r="C21" s="84"/>
      <c r="D21" s="84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532"/>
    </row>
    <row r="22" spans="1:18" outlineLevel="1" x14ac:dyDescent="0.35">
      <c r="A22" s="80" t="s">
        <v>12</v>
      </c>
      <c r="B22" s="80">
        <f t="shared" ref="B22:D22" si="6">SUM(B19:B21)</f>
        <v>926670</v>
      </c>
      <c r="C22" s="80">
        <f t="shared" si="6"/>
        <v>926670</v>
      </c>
      <c r="D22" s="80">
        <f t="shared" si="6"/>
        <v>0</v>
      </c>
      <c r="E22" s="80"/>
      <c r="F22" s="80">
        <f t="shared" ref="F22:Q22" si="7">SUM(F19:F21)</f>
        <v>0</v>
      </c>
      <c r="G22" s="80">
        <f t="shared" si="7"/>
        <v>0</v>
      </c>
      <c r="H22" s="80">
        <f t="shared" si="7"/>
        <v>0</v>
      </c>
      <c r="I22" s="80">
        <f t="shared" si="7"/>
        <v>926670</v>
      </c>
      <c r="J22" s="80">
        <f t="shared" si="7"/>
        <v>0</v>
      </c>
      <c r="K22" s="80">
        <f t="shared" si="7"/>
        <v>0</v>
      </c>
      <c r="L22" s="80">
        <f t="shared" si="7"/>
        <v>0</v>
      </c>
      <c r="M22" s="80">
        <f t="shared" si="7"/>
        <v>0</v>
      </c>
      <c r="N22" s="80">
        <f t="shared" si="7"/>
        <v>0</v>
      </c>
      <c r="O22" s="80">
        <f t="shared" si="7"/>
        <v>0</v>
      </c>
      <c r="P22" s="80">
        <f t="shared" si="7"/>
        <v>0</v>
      </c>
      <c r="Q22" s="80">
        <f t="shared" si="7"/>
        <v>0</v>
      </c>
    </row>
    <row r="23" spans="1:18" s="533" customFormat="1" outlineLevel="1" x14ac:dyDescent="0.35">
      <c r="A23" s="536" t="s">
        <v>834</v>
      </c>
      <c r="B23" s="534">
        <f>C23+D23</f>
        <v>509668.5</v>
      </c>
      <c r="C23" s="93">
        <f t="shared" si="4"/>
        <v>509668.5</v>
      </c>
      <c r="D23" s="93">
        <f t="shared" si="5"/>
        <v>0</v>
      </c>
      <c r="E23" s="535"/>
      <c r="F23" s="535">
        <f>F19*$R19+F20*$R20+F21*$R21</f>
        <v>0</v>
      </c>
      <c r="G23" s="535">
        <f t="shared" ref="G23:Q23" si="8">G19*$R19+G20*$R20+G21*$R21</f>
        <v>0</v>
      </c>
      <c r="H23" s="535">
        <f t="shared" si="8"/>
        <v>0</v>
      </c>
      <c r="I23" s="535">
        <f t="shared" si="8"/>
        <v>509668.5</v>
      </c>
      <c r="J23" s="535">
        <f t="shared" si="8"/>
        <v>0</v>
      </c>
      <c r="K23" s="535">
        <f t="shared" si="8"/>
        <v>0</v>
      </c>
      <c r="L23" s="535">
        <f t="shared" si="8"/>
        <v>0</v>
      </c>
      <c r="M23" s="535">
        <f t="shared" si="8"/>
        <v>0</v>
      </c>
      <c r="N23" s="535">
        <f t="shared" si="8"/>
        <v>0</v>
      </c>
      <c r="O23" s="535">
        <f t="shared" si="8"/>
        <v>0</v>
      </c>
      <c r="P23" s="535">
        <f t="shared" si="8"/>
        <v>0</v>
      </c>
      <c r="Q23" s="535">
        <f t="shared" si="8"/>
        <v>0</v>
      </c>
    </row>
    <row r="24" spans="1:18" s="533" customFormat="1" outlineLevel="1" x14ac:dyDescent="0.35">
      <c r="A24" s="536" t="s">
        <v>835</v>
      </c>
      <c r="B24" s="534">
        <f>C24+D24</f>
        <v>417001.5</v>
      </c>
      <c r="C24" s="93">
        <f t="shared" si="4"/>
        <v>417001.5</v>
      </c>
      <c r="D24" s="93">
        <f t="shared" si="5"/>
        <v>0</v>
      </c>
      <c r="E24" s="535"/>
      <c r="F24" s="535">
        <f t="shared" ref="F24:P24" si="9">F22-F23</f>
        <v>0</v>
      </c>
      <c r="G24" s="535">
        <f t="shared" si="9"/>
        <v>0</v>
      </c>
      <c r="H24" s="535">
        <f t="shared" si="9"/>
        <v>0</v>
      </c>
      <c r="I24" s="535">
        <f t="shared" si="9"/>
        <v>417001.5</v>
      </c>
      <c r="J24" s="535">
        <f t="shared" si="9"/>
        <v>0</v>
      </c>
      <c r="K24" s="535">
        <f t="shared" si="9"/>
        <v>0</v>
      </c>
      <c r="L24" s="535">
        <f t="shared" si="9"/>
        <v>0</v>
      </c>
      <c r="M24" s="535">
        <f t="shared" si="9"/>
        <v>0</v>
      </c>
      <c r="N24" s="535">
        <f t="shared" si="9"/>
        <v>0</v>
      </c>
      <c r="O24" s="535">
        <f t="shared" si="9"/>
        <v>0</v>
      </c>
      <c r="P24" s="535">
        <f t="shared" si="9"/>
        <v>0</v>
      </c>
      <c r="Q24" s="535">
        <f>Q22-Q23</f>
        <v>0</v>
      </c>
    </row>
    <row r="25" spans="1:18" s="533" customFormat="1" outlineLevel="1" x14ac:dyDescent="0.35">
      <c r="A25" s="536" t="s">
        <v>943</v>
      </c>
      <c r="B25" s="534">
        <f>C25+D25</f>
        <v>443126.42099011986</v>
      </c>
      <c r="C25" s="93">
        <f t="shared" ref="C25" si="10">SUM(F25:I25)</f>
        <v>443126.42099011986</v>
      </c>
      <c r="D25" s="93">
        <f t="shared" ref="D25" si="11">SUM(J25:Q25)</f>
        <v>0</v>
      </c>
      <c r="E25" s="535"/>
      <c r="F25" s="535">
        <f>F24*F29</f>
        <v>0</v>
      </c>
      <c r="G25" s="535">
        <f t="shared" ref="G25:Q25" si="12">G24*G29</f>
        <v>0</v>
      </c>
      <c r="H25" s="535">
        <f t="shared" si="12"/>
        <v>0</v>
      </c>
      <c r="I25" s="535">
        <f t="shared" si="12"/>
        <v>443126.42099011986</v>
      </c>
      <c r="J25" s="535">
        <f t="shared" si="12"/>
        <v>0</v>
      </c>
      <c r="K25" s="535">
        <f t="shared" si="12"/>
        <v>0</v>
      </c>
      <c r="L25" s="535">
        <f t="shared" si="12"/>
        <v>0</v>
      </c>
      <c r="M25" s="535">
        <f t="shared" si="12"/>
        <v>0</v>
      </c>
      <c r="N25" s="535">
        <f t="shared" si="12"/>
        <v>0</v>
      </c>
      <c r="O25" s="535">
        <f t="shared" si="12"/>
        <v>0</v>
      </c>
      <c r="P25" s="535">
        <f t="shared" si="12"/>
        <v>0</v>
      </c>
      <c r="Q25" s="535">
        <f t="shared" si="12"/>
        <v>0</v>
      </c>
    </row>
    <row r="26" spans="1:18" s="533" customFormat="1" outlineLevel="1" x14ac:dyDescent="0.35">
      <c r="A26" s="536" t="s">
        <v>926</v>
      </c>
      <c r="B26" s="534">
        <f>C26+D26</f>
        <v>443126.42099011986</v>
      </c>
      <c r="C26" s="93">
        <f t="shared" ref="C26" si="13">SUM(F26:I26)</f>
        <v>0</v>
      </c>
      <c r="D26" s="93">
        <f t="shared" ref="D26" si="14">SUM(J26:Q26)</f>
        <v>443126.42099011986</v>
      </c>
      <c r="E26" s="535"/>
      <c r="F26" s="535">
        <f>F25*F30</f>
        <v>0</v>
      </c>
      <c r="G26" s="535">
        <f t="shared" ref="G26" si="15">G25*G30</f>
        <v>0</v>
      </c>
      <c r="H26" s="535">
        <f t="shared" ref="H26" si="16">H25*H30</f>
        <v>0</v>
      </c>
      <c r="I26" s="535">
        <f t="shared" ref="I26" si="17">I25*I30</f>
        <v>0</v>
      </c>
      <c r="J26" s="535">
        <f>$I$25/7</f>
        <v>63303.77442715998</v>
      </c>
      <c r="K26" s="535">
        <f t="shared" ref="K26:P26" si="18">$I$25/7</f>
        <v>63303.77442715998</v>
      </c>
      <c r="L26" s="535">
        <f t="shared" si="18"/>
        <v>63303.77442715998</v>
      </c>
      <c r="M26" s="535">
        <f t="shared" si="18"/>
        <v>63303.77442715998</v>
      </c>
      <c r="N26" s="535">
        <f t="shared" si="18"/>
        <v>63303.77442715998</v>
      </c>
      <c r="O26" s="535">
        <f t="shared" si="18"/>
        <v>63303.77442715998</v>
      </c>
      <c r="P26" s="535">
        <f t="shared" si="18"/>
        <v>63303.77442715998</v>
      </c>
      <c r="Q26" s="535">
        <f t="shared" ref="Q26" si="19">Q25*Q30</f>
        <v>0</v>
      </c>
    </row>
    <row r="27" spans="1:18" s="533" customFormat="1" ht="10.5" outlineLevel="1" x14ac:dyDescent="0.25"/>
    <row r="28" spans="1:18" s="88" customFormat="1" ht="13" x14ac:dyDescent="0.3">
      <c r="E28" s="638" t="s">
        <v>937</v>
      </c>
      <c r="F28" s="594">
        <f>Veehind!E3</f>
        <v>4.6300000000000001E-2</v>
      </c>
      <c r="G28" s="594">
        <f>Veehind!F3</f>
        <v>2.4899999999999999E-2</v>
      </c>
      <c r="H28" s="594">
        <f>Veehind!G3</f>
        <v>1.7399999999999999E-2</v>
      </c>
      <c r="I28" s="594">
        <f>Veehind!H3</f>
        <v>1.9099999999999999E-2</v>
      </c>
      <c r="J28" s="594">
        <f>Veehind!I3</f>
        <v>0.02</v>
      </c>
      <c r="K28" s="594">
        <f>Veehind!J3</f>
        <v>0.02</v>
      </c>
      <c r="L28" s="594">
        <f>Veehind!K3</f>
        <v>0.02</v>
      </c>
      <c r="M28" s="594">
        <f>Veehind!L3</f>
        <v>0.02</v>
      </c>
      <c r="N28" s="594">
        <f>Veehind!M3</f>
        <v>0.02</v>
      </c>
      <c r="O28" s="594">
        <f>Veehind!N3</f>
        <v>0.02</v>
      </c>
      <c r="P28" s="594">
        <f>Veehind!O3</f>
        <v>0.02</v>
      </c>
      <c r="Q28" s="594">
        <f>Veehind!P3</f>
        <v>0.02</v>
      </c>
    </row>
    <row r="29" spans="1:18" s="88" customFormat="1" ht="13" x14ac:dyDescent="0.3">
      <c r="E29" s="638" t="s">
        <v>938</v>
      </c>
      <c r="F29" s="605">
        <v>1</v>
      </c>
      <c r="G29" s="605">
        <f>F29*(1+G28)</f>
        <v>1.0248999999999999</v>
      </c>
      <c r="H29" s="605">
        <f t="shared" ref="H29:Q29" si="20">G29*(1+H28)</f>
        <v>1.0427332600000001</v>
      </c>
      <c r="I29" s="605">
        <f t="shared" si="20"/>
        <v>1.0626494652659999</v>
      </c>
      <c r="J29" s="605">
        <f t="shared" si="20"/>
        <v>1.0839024545713198</v>
      </c>
      <c r="K29" s="605">
        <f t="shared" si="20"/>
        <v>1.1055805036627462</v>
      </c>
      <c r="L29" s="605">
        <f t="shared" si="20"/>
        <v>1.1276921137360012</v>
      </c>
      <c r="M29" s="605">
        <f t="shared" si="20"/>
        <v>1.1502459560107212</v>
      </c>
      <c r="N29" s="605">
        <f t="shared" si="20"/>
        <v>1.1732508751309356</v>
      </c>
      <c r="O29" s="605">
        <f t="shared" si="20"/>
        <v>1.1967158926335544</v>
      </c>
      <c r="P29" s="605">
        <f t="shared" si="20"/>
        <v>1.2206502104862256</v>
      </c>
      <c r="Q29" s="605">
        <f t="shared" si="20"/>
        <v>1.2450632146959502</v>
      </c>
    </row>
    <row r="30" spans="1:18" ht="18.5" x14ac:dyDescent="0.45">
      <c r="A30" s="87" t="s">
        <v>921</v>
      </c>
    </row>
    <row r="31" spans="1:18" s="598" customFormat="1" x14ac:dyDescent="0.35">
      <c r="A31" s="95" t="s">
        <v>50</v>
      </c>
      <c r="B31" s="595" t="s">
        <v>12</v>
      </c>
      <c r="C31" s="595" t="s">
        <v>583</v>
      </c>
      <c r="D31" s="595" t="s">
        <v>595</v>
      </c>
      <c r="E31" s="596" t="s">
        <v>827</v>
      </c>
      <c r="F31" s="597">
        <v>2024</v>
      </c>
      <c r="G31" s="597">
        <v>2025</v>
      </c>
      <c r="H31" s="597">
        <v>2026</v>
      </c>
      <c r="I31" s="597">
        <v>2027</v>
      </c>
      <c r="J31" s="595">
        <v>2028</v>
      </c>
      <c r="K31" s="595">
        <v>2029</v>
      </c>
      <c r="L31" s="595">
        <v>2030</v>
      </c>
      <c r="M31" s="595">
        <v>2031</v>
      </c>
      <c r="N31" s="595">
        <v>2032</v>
      </c>
      <c r="O31" s="595">
        <v>2033</v>
      </c>
      <c r="P31" s="595">
        <v>2034</v>
      </c>
      <c r="Q31" s="595">
        <v>2035</v>
      </c>
    </row>
    <row r="32" spans="1:18" s="94" customFormat="1" x14ac:dyDescent="0.35">
      <c r="A32" s="92" t="s">
        <v>828</v>
      </c>
      <c r="B32" s="599">
        <f>C32+D32</f>
        <v>429114.39867398946</v>
      </c>
      <c r="C32" s="93">
        <f>SUM(F32:I32)</f>
        <v>284951.21637919242</v>
      </c>
      <c r="D32" s="93">
        <f>SUM(J32:Q32)</f>
        <v>144163.18229479706</v>
      </c>
      <c r="E32" s="92"/>
      <c r="F32" s="92">
        <f t="shared" ref="F32:Q32" si="21">F4*F$29</f>
        <v>169724.99999999997</v>
      </c>
      <c r="G32" s="92">
        <f t="shared" si="21"/>
        <v>23572.699999999997</v>
      </c>
      <c r="H32" s="92">
        <f t="shared" si="21"/>
        <v>0</v>
      </c>
      <c r="I32" s="92">
        <f t="shared" si="21"/>
        <v>91653.516379192486</v>
      </c>
      <c r="J32" s="92">
        <f t="shared" si="21"/>
        <v>16796.423411650816</v>
      </c>
      <c r="K32" s="92">
        <f t="shared" si="21"/>
        <v>17132.35187988383</v>
      </c>
      <c r="L32" s="92">
        <f t="shared" si="21"/>
        <v>17474.998917481509</v>
      </c>
      <c r="M32" s="92">
        <f t="shared" si="21"/>
        <v>17824.498895831137</v>
      </c>
      <c r="N32" s="92">
        <f t="shared" si="21"/>
        <v>18180.988873747759</v>
      </c>
      <c r="O32" s="92">
        <f t="shared" si="21"/>
        <v>18544.608651222716</v>
      </c>
      <c r="P32" s="92">
        <f t="shared" si="21"/>
        <v>18915.500824247174</v>
      </c>
      <c r="Q32" s="92">
        <f t="shared" si="21"/>
        <v>19293.810840732116</v>
      </c>
    </row>
    <row r="33" spans="1:17" s="94" customFormat="1" x14ac:dyDescent="0.35">
      <c r="A33" s="92" t="s">
        <v>53</v>
      </c>
      <c r="B33" s="599">
        <f>C33+D33</f>
        <v>643318.35505269107</v>
      </c>
      <c r="C33" s="93">
        <f t="shared" ref="C33:C34" si="22">SUM(F33:I33)</f>
        <v>17987.148735000002</v>
      </c>
      <c r="D33" s="93">
        <f t="shared" ref="D33:D34" si="23">SUM(J33:Q33)</f>
        <v>625331.20631769102</v>
      </c>
      <c r="E33" s="92"/>
      <c r="F33" s="92">
        <f t="shared" ref="F33:Q33" si="24">F5*F$29</f>
        <v>0</v>
      </c>
      <c r="G33" s="92">
        <f t="shared" si="24"/>
        <v>0</v>
      </c>
      <c r="H33" s="92">
        <f t="shared" si="24"/>
        <v>17987.148735000002</v>
      </c>
      <c r="I33" s="92">
        <f t="shared" si="24"/>
        <v>0</v>
      </c>
      <c r="J33" s="92">
        <f t="shared" si="24"/>
        <v>72857.21324014767</v>
      </c>
      <c r="K33" s="92">
        <f t="shared" si="24"/>
        <v>74314.357504950633</v>
      </c>
      <c r="L33" s="92">
        <f t="shared" si="24"/>
        <v>75800.644655049648</v>
      </c>
      <c r="M33" s="92">
        <f t="shared" si="24"/>
        <v>77316.65754815063</v>
      </c>
      <c r="N33" s="92">
        <f t="shared" si="24"/>
        <v>78862.990699113652</v>
      </c>
      <c r="O33" s="92">
        <f t="shared" si="24"/>
        <v>80440.250513095918</v>
      </c>
      <c r="P33" s="92">
        <f t="shared" si="24"/>
        <v>82049.055523357849</v>
      </c>
      <c r="Q33" s="92">
        <f t="shared" si="24"/>
        <v>83690.036633825017</v>
      </c>
    </row>
    <row r="34" spans="1:17" s="94" customFormat="1" x14ac:dyDescent="0.35">
      <c r="A34" s="92" t="s">
        <v>829</v>
      </c>
      <c r="B34" s="599">
        <f>C34+D34</f>
        <v>1084685.1290723654</v>
      </c>
      <c r="C34" s="93">
        <f t="shared" si="22"/>
        <v>297952.675341325</v>
      </c>
      <c r="D34" s="93">
        <f t="shared" si="23"/>
        <v>786732.45373104047</v>
      </c>
      <c r="E34" s="92"/>
      <c r="F34" s="92">
        <f t="shared" ref="F34:Q34" si="25">F6*F$29</f>
        <v>0</v>
      </c>
      <c r="G34" s="92">
        <f t="shared" si="25"/>
        <v>250076.88112499999</v>
      </c>
      <c r="H34" s="92">
        <f t="shared" si="25"/>
        <v>47875.794216325005</v>
      </c>
      <c r="I34" s="92">
        <f t="shared" si="25"/>
        <v>0</v>
      </c>
      <c r="J34" s="92">
        <f t="shared" si="25"/>
        <v>91662.040156215749</v>
      </c>
      <c r="K34" s="92">
        <f t="shared" si="25"/>
        <v>93495.28095934006</v>
      </c>
      <c r="L34" s="92">
        <f t="shared" si="25"/>
        <v>95365.186578526875</v>
      </c>
      <c r="M34" s="92">
        <f t="shared" si="25"/>
        <v>97272.490310097404</v>
      </c>
      <c r="N34" s="92">
        <f t="shared" si="25"/>
        <v>99217.94011629936</v>
      </c>
      <c r="O34" s="92">
        <f t="shared" si="25"/>
        <v>101202.29891862534</v>
      </c>
      <c r="P34" s="92">
        <f t="shared" si="25"/>
        <v>103226.34489699786</v>
      </c>
      <c r="Q34" s="92">
        <f t="shared" si="25"/>
        <v>105290.87179493782</v>
      </c>
    </row>
    <row r="35" spans="1:17" s="600" customFormat="1" x14ac:dyDescent="0.35">
      <c r="A35" s="602" t="s">
        <v>55</v>
      </c>
      <c r="B35" s="602"/>
      <c r="C35" s="603"/>
      <c r="D35" s="603"/>
      <c r="E35" s="602"/>
      <c r="F35" s="602">
        <f>E35+F32/15+F33/25+F34/50</f>
        <v>11314.999999999998</v>
      </c>
      <c r="G35" s="602">
        <f t="shared" ref="G35" si="26">F35+G32/15+G33/25+G34/50</f>
        <v>17888.050955833329</v>
      </c>
      <c r="H35" s="602">
        <f t="shared" ref="H35" si="27">G35+H32/15+H33/25+H34/50</f>
        <v>19565.052789559832</v>
      </c>
      <c r="I35" s="602">
        <f t="shared" ref="I35" si="28">H35+I32/15+I33/25+I34/50</f>
        <v>25675.287214839329</v>
      </c>
      <c r="J35" s="602">
        <f t="shared" ref="J35" si="29">I35+J32/15+J33/25+J34/50</f>
        <v>31542.578108346272</v>
      </c>
      <c r="K35" s="602">
        <f t="shared" ref="K35" si="30">J35+K32/15+K33/25+K34/50</f>
        <v>37527.214819723355</v>
      </c>
      <c r="L35" s="602">
        <f t="shared" ref="L35" si="31">K35+L32/15+L33/25+L34/50</f>
        <v>43631.544265327975</v>
      </c>
      <c r="M35" s="602">
        <f t="shared" ref="M35" si="32">L35+M32/15+M33/25+M34/50</f>
        <v>49857.960299844686</v>
      </c>
      <c r="N35" s="602">
        <f t="shared" ref="N35" si="33">M35+N32/15+N33/25+N34/50</f>
        <v>56208.904655051738</v>
      </c>
      <c r="O35" s="602">
        <f t="shared" ref="O35" si="34">N35+O32/15+O33/25+O34/50</f>
        <v>62686.867897362936</v>
      </c>
      <c r="P35" s="602">
        <f t="shared" ref="P35" si="35">O35+P32/15+P33/25+P34/50</f>
        <v>69294.390404520353</v>
      </c>
      <c r="Q35" s="602">
        <f t="shared" ref="Q35" si="36">P35+Q32/15+Q33/25+Q34/50</f>
        <v>76034.063361820925</v>
      </c>
    </row>
    <row r="36" spans="1:17" s="601" customFormat="1" x14ac:dyDescent="0.35">
      <c r="A36" s="604" t="s">
        <v>54</v>
      </c>
      <c r="B36" s="604"/>
      <c r="C36" s="604"/>
      <c r="D36" s="604"/>
      <c r="E36" s="604"/>
      <c r="F36" s="604">
        <f>E36+F32+F33+F34-F35</f>
        <v>158409.99999999997</v>
      </c>
      <c r="G36" s="604">
        <f t="shared" ref="G36" si="37">F36+G32+G33+G34-G35</f>
        <v>414171.53016916657</v>
      </c>
      <c r="H36" s="604">
        <f t="shared" ref="H36" si="38">G36+H32+H33+H34-H35</f>
        <v>460469.42033093172</v>
      </c>
      <c r="I36" s="604">
        <f t="shared" ref="I36" si="39">H36+I32+I33+I34-I35</f>
        <v>526447.64949528489</v>
      </c>
      <c r="J36" s="604">
        <f t="shared" ref="J36" si="40">I36+J32+J33+J34-J35</f>
        <v>676220.74819495284</v>
      </c>
      <c r="K36" s="604">
        <f t="shared" ref="K36" si="41">J36+K32+K33+K34-K35</f>
        <v>823635.52371940389</v>
      </c>
      <c r="L36" s="604">
        <f t="shared" ref="L36" si="42">K36+L32+L33+L34-L35</f>
        <v>968644.80960513395</v>
      </c>
      <c r="M36" s="604">
        <f t="shared" ref="M36" si="43">L36+M32+M33+M34-M35</f>
        <v>1111200.4960593684</v>
      </c>
      <c r="N36" s="604">
        <f t="shared" ref="N36" si="44">M36+N32+N33+N34-N35</f>
        <v>1251253.5110934773</v>
      </c>
      <c r="O36" s="604">
        <f t="shared" ref="O36" si="45">N36+O32+O33+O34-O35</f>
        <v>1388753.8012790582</v>
      </c>
      <c r="P36" s="604">
        <f t="shared" ref="P36" si="46">O36+P32+P33+P34-P35</f>
        <v>1523650.3121191408</v>
      </c>
      <c r="Q36" s="604">
        <f t="shared" ref="Q36" si="47">P36+Q32+Q33+Q34-Q35</f>
        <v>1655890.9680268147</v>
      </c>
    </row>
    <row r="37" spans="1:17" ht="18.5" x14ac:dyDescent="0.45">
      <c r="A37" s="87" t="s">
        <v>922</v>
      </c>
    </row>
    <row r="38" spans="1:17" s="598" customFormat="1" x14ac:dyDescent="0.35">
      <c r="A38" s="95" t="s">
        <v>50</v>
      </c>
      <c r="B38" s="595" t="s">
        <v>12</v>
      </c>
      <c r="C38" s="595" t="s">
        <v>583</v>
      </c>
      <c r="D38" s="595" t="s">
        <v>595</v>
      </c>
      <c r="E38" s="596" t="s">
        <v>827</v>
      </c>
      <c r="F38" s="597">
        <v>2024</v>
      </c>
      <c r="G38" s="597">
        <v>2025</v>
      </c>
      <c r="H38" s="597">
        <v>2026</v>
      </c>
      <c r="I38" s="597">
        <v>2027</v>
      </c>
      <c r="J38" s="595">
        <v>2028</v>
      </c>
      <c r="K38" s="595">
        <v>2029</v>
      </c>
      <c r="L38" s="595">
        <v>2030</v>
      </c>
      <c r="M38" s="595">
        <v>2031</v>
      </c>
      <c r="N38" s="595">
        <v>2032</v>
      </c>
      <c r="O38" s="595">
        <v>2033</v>
      </c>
      <c r="P38" s="595">
        <v>2034</v>
      </c>
      <c r="Q38" s="595">
        <v>2035</v>
      </c>
    </row>
    <row r="39" spans="1:17" s="94" customFormat="1" x14ac:dyDescent="0.35">
      <c r="A39" s="92" t="s">
        <v>828</v>
      </c>
      <c r="B39" s="599">
        <f>C39+D39</f>
        <v>1447875.3782717059</v>
      </c>
      <c r="C39" s="93">
        <f>SUM(F39:I39)</f>
        <v>1102846.6117405591</v>
      </c>
      <c r="D39" s="93">
        <f>SUM(J39:Q39)</f>
        <v>345028.76653114689</v>
      </c>
      <c r="E39" s="92"/>
      <c r="F39" s="92">
        <f t="shared" ref="F39:Q39" si="48">F11*F$29</f>
        <v>220900</v>
      </c>
      <c r="G39" s="92">
        <f t="shared" si="48"/>
        <v>294658.75</v>
      </c>
      <c r="H39" s="92">
        <f t="shared" si="48"/>
        <v>575067.39289000002</v>
      </c>
      <c r="I39" s="92">
        <f t="shared" si="48"/>
        <v>12220.468850558998</v>
      </c>
      <c r="J39" s="92">
        <f t="shared" si="48"/>
        <v>40199.232283913814</v>
      </c>
      <c r="K39" s="92">
        <f t="shared" si="48"/>
        <v>41003.21692959209</v>
      </c>
      <c r="L39" s="92">
        <f t="shared" si="48"/>
        <v>41823.281268183935</v>
      </c>
      <c r="M39" s="92">
        <f t="shared" si="48"/>
        <v>42659.746893547614</v>
      </c>
      <c r="N39" s="92">
        <f t="shared" si="48"/>
        <v>43512.941831418568</v>
      </c>
      <c r="O39" s="92">
        <f t="shared" si="48"/>
        <v>44383.200668046942</v>
      </c>
      <c r="P39" s="92">
        <f t="shared" si="48"/>
        <v>45270.864681407882</v>
      </c>
      <c r="Q39" s="92">
        <f t="shared" si="48"/>
        <v>46176.281975036043</v>
      </c>
    </row>
    <row r="40" spans="1:17" s="94" customFormat="1" x14ac:dyDescent="0.35">
      <c r="A40" s="92" t="s">
        <v>53</v>
      </c>
      <c r="B40" s="599">
        <f>C40+D40</f>
        <v>862966.94010306278</v>
      </c>
      <c r="C40" s="93">
        <f t="shared" ref="C40:C41" si="49">SUM(F40:I40)</f>
        <v>324026.65749820939</v>
      </c>
      <c r="D40" s="93">
        <f t="shared" ref="D40:D41" si="50">SUM(J40:Q40)</f>
        <v>538940.28260485339</v>
      </c>
      <c r="E40" s="92"/>
      <c r="F40" s="92">
        <f t="shared" ref="F40:Q40" si="51">F12*F$29</f>
        <v>0</v>
      </c>
      <c r="G40" s="92">
        <f t="shared" si="51"/>
        <v>48913.352499999994</v>
      </c>
      <c r="H40" s="92">
        <f t="shared" si="51"/>
        <v>0</v>
      </c>
      <c r="I40" s="92">
        <f t="shared" si="51"/>
        <v>275113.30499820941</v>
      </c>
      <c r="J40" s="92">
        <f t="shared" si="51"/>
        <v>62791.824071384755</v>
      </c>
      <c r="K40" s="92">
        <f t="shared" si="51"/>
        <v>64047.660552812449</v>
      </c>
      <c r="L40" s="92">
        <f t="shared" si="51"/>
        <v>65328.6137638687</v>
      </c>
      <c r="M40" s="92">
        <f t="shared" si="51"/>
        <v>66635.18603914608</v>
      </c>
      <c r="N40" s="92">
        <f t="shared" si="51"/>
        <v>67967.889759928992</v>
      </c>
      <c r="O40" s="92">
        <f t="shared" si="51"/>
        <v>69327.247555127586</v>
      </c>
      <c r="P40" s="92">
        <f t="shared" si="51"/>
        <v>70713.792506230136</v>
      </c>
      <c r="Q40" s="92">
        <f t="shared" si="51"/>
        <v>72128.06835635475</v>
      </c>
    </row>
    <row r="41" spans="1:17" s="94" customFormat="1" x14ac:dyDescent="0.35">
      <c r="A41" s="92" t="s">
        <v>829</v>
      </c>
      <c r="B41" s="599">
        <f>C41+D41</f>
        <v>5454439.8397109453</v>
      </c>
      <c r="C41" s="93">
        <f t="shared" si="49"/>
        <v>360959.36039889237</v>
      </c>
      <c r="D41" s="93">
        <f t="shared" si="50"/>
        <v>5093480.479312053</v>
      </c>
      <c r="E41" s="92"/>
      <c r="F41" s="92">
        <f t="shared" ref="F41:Q41" si="52">F13*F$29</f>
        <v>28462.499999999996</v>
      </c>
      <c r="G41" s="92">
        <f t="shared" si="52"/>
        <v>29171.216249999994</v>
      </c>
      <c r="H41" s="92">
        <f t="shared" si="52"/>
        <v>29678.795412749998</v>
      </c>
      <c r="I41" s="92">
        <f t="shared" si="52"/>
        <v>273646.84873614239</v>
      </c>
      <c r="J41" s="92">
        <f t="shared" si="52"/>
        <v>593440.38753638847</v>
      </c>
      <c r="K41" s="92">
        <f t="shared" si="52"/>
        <v>605309.19528711622</v>
      </c>
      <c r="L41" s="92">
        <f t="shared" si="52"/>
        <v>617415.37919285859</v>
      </c>
      <c r="M41" s="92">
        <f t="shared" si="52"/>
        <v>629763.6867767158</v>
      </c>
      <c r="N41" s="92">
        <f t="shared" si="52"/>
        <v>642358.96051225008</v>
      </c>
      <c r="O41" s="92">
        <f t="shared" si="52"/>
        <v>655206.13972249511</v>
      </c>
      <c r="P41" s="92">
        <f t="shared" si="52"/>
        <v>668310.26251694502</v>
      </c>
      <c r="Q41" s="92">
        <f t="shared" si="52"/>
        <v>681676.46776728402</v>
      </c>
    </row>
    <row r="42" spans="1:17" s="600" customFormat="1" x14ac:dyDescent="0.35">
      <c r="A42" s="602" t="s">
        <v>55</v>
      </c>
      <c r="B42" s="602"/>
      <c r="C42" s="603"/>
      <c r="D42" s="603"/>
      <c r="E42" s="602"/>
      <c r="F42" s="602">
        <f>E42+F39/15+F40/25+F41/50</f>
        <v>15295.916666666666</v>
      </c>
      <c r="G42" s="602">
        <f t="shared" ref="G42" si="53">F42+G39/15+G40/25+G41/50</f>
        <v>37479.791758333333</v>
      </c>
      <c r="H42" s="602">
        <f t="shared" ref="H42" si="54">G42+H39/15+H40/25+H41/50</f>
        <v>76411.193859255</v>
      </c>
      <c r="I42" s="602">
        <f t="shared" ref="I42" si="55">H42+I39/15+I40/25+I41/50</f>
        <v>93703.360957276818</v>
      </c>
      <c r="J42" s="602">
        <f t="shared" ref="J42" si="56">I42+J39/15+J40/25+J41/50</f>
        <v>110763.79048978756</v>
      </c>
      <c r="K42" s="602">
        <f t="shared" ref="K42" si="57">J42+K39/15+K40/25+K41/50</f>
        <v>128165.42861294851</v>
      </c>
      <c r="L42" s="602">
        <f t="shared" ref="L42" si="58">K42+L39/15+L40/25+L41/50</f>
        <v>145915.0994985727</v>
      </c>
      <c r="M42" s="602">
        <f t="shared" ref="M42" si="59">L42+M39/15+M40/25+M41/50</f>
        <v>164019.76380190937</v>
      </c>
      <c r="N42" s="602">
        <f t="shared" ref="N42" si="60">M42+N39/15+N40/25+N41/50</f>
        <v>182486.52139131277</v>
      </c>
      <c r="O42" s="602">
        <f t="shared" ref="O42" si="61">N42+O39/15+O40/25+O41/50</f>
        <v>201322.61413250424</v>
      </c>
      <c r="P42" s="602">
        <f t="shared" ref="P42" si="62">O42+P39/15+P40/25+P41/50</f>
        <v>220535.42872851953</v>
      </c>
      <c r="Q42" s="602">
        <f t="shared" ref="Q42" si="63">P42+Q39/15+Q40/25+Q41/50</f>
        <v>240132.49961645514</v>
      </c>
    </row>
    <row r="43" spans="1:17" s="601" customFormat="1" x14ac:dyDescent="0.35">
      <c r="A43" s="604" t="s">
        <v>54</v>
      </c>
      <c r="B43" s="604"/>
      <c r="C43" s="604"/>
      <c r="D43" s="604"/>
      <c r="E43" s="604"/>
      <c r="F43" s="604">
        <f>E43+F39+F40+F41-F42</f>
        <v>234066.58333333334</v>
      </c>
      <c r="G43" s="604">
        <f t="shared" ref="G43" si="64">F43+G39+G40+G41-G42</f>
        <v>569330.11032500002</v>
      </c>
      <c r="H43" s="604">
        <f t="shared" ref="H43" si="65">G43+H39+H40+H41-H42</f>
        <v>1097665.1047684951</v>
      </c>
      <c r="I43" s="604">
        <f t="shared" ref="I43" si="66">H43+I39+I40+I41-I42</f>
        <v>1564942.3663961294</v>
      </c>
      <c r="J43" s="604">
        <f t="shared" ref="J43" si="67">I43+J39+J40+J41-J42</f>
        <v>2150610.0197980287</v>
      </c>
      <c r="K43" s="604">
        <f t="shared" ref="K43" si="68">J43+K39+K40+K41-K42</f>
        <v>2732804.6639546012</v>
      </c>
      <c r="L43" s="604">
        <f t="shared" ref="L43" si="69">K43+L39+L40+L41-L42</f>
        <v>3311456.8386809397</v>
      </c>
      <c r="M43" s="604">
        <f t="shared" ref="M43" si="70">L43+M39+M40+M41-M42</f>
        <v>3886495.6945884395</v>
      </c>
      <c r="N43" s="604">
        <f t="shared" ref="N43" si="71">M43+N39+N40+N41-N42</f>
        <v>4457848.9653007248</v>
      </c>
      <c r="O43" s="604">
        <f t="shared" ref="O43" si="72">N43+O39+O40+O41-O42</f>
        <v>5025442.9391138908</v>
      </c>
      <c r="P43" s="604">
        <f t="shared" ref="P43" si="73">O43+P39+P40+P41-P42</f>
        <v>5589202.4300899534</v>
      </c>
      <c r="Q43" s="604">
        <f t="shared" ref="Q43" si="74">P43+Q39+Q40+Q41-Q42</f>
        <v>6149050.7485721735</v>
      </c>
    </row>
    <row r="47" spans="1:17" outlineLevel="1" x14ac:dyDescent="0.35"/>
    <row r="48" spans="1:17" outlineLevel="1" x14ac:dyDescent="0.35"/>
    <row r="49" outlineLevel="1" x14ac:dyDescent="0.35"/>
    <row r="50" outlineLevel="1" x14ac:dyDescent="0.35"/>
    <row r="51" outlineLevel="1" x14ac:dyDescent="0.35"/>
    <row r="52" outlineLevel="1" x14ac:dyDescent="0.35"/>
    <row r="53" outlineLevel="1" x14ac:dyDescent="0.35"/>
    <row r="54" outlineLevel="1" x14ac:dyDescent="0.35"/>
    <row r="55" outlineLevel="1" x14ac:dyDescent="0.35"/>
    <row r="56" outlineLevel="1" x14ac:dyDescent="0.35"/>
    <row r="57" outlineLevel="1" x14ac:dyDescent="0.35"/>
    <row r="58" outlineLevel="1" x14ac:dyDescent="0.35"/>
    <row r="59" outlineLevel="1" x14ac:dyDescent="0.35"/>
    <row r="60" outlineLevel="1" x14ac:dyDescent="0.35"/>
    <row r="61" outlineLevel="1" x14ac:dyDescent="0.35"/>
    <row r="62" outlineLevel="1" x14ac:dyDescent="0.35"/>
    <row r="63" outlineLevel="1" x14ac:dyDescent="0.35"/>
    <row r="64" outlineLevel="1" x14ac:dyDescent="0.35"/>
    <row r="65" outlineLevel="1" x14ac:dyDescent="0.35"/>
    <row r="66" outlineLevel="1" x14ac:dyDescent="0.35"/>
    <row r="67" outlineLevel="1" x14ac:dyDescent="0.35"/>
    <row r="68" outlineLevel="1" x14ac:dyDescent="0.35"/>
    <row r="69" outlineLevel="1" x14ac:dyDescent="0.35"/>
    <row r="70" outlineLevel="1" x14ac:dyDescent="0.35"/>
    <row r="71" outlineLevel="1" x14ac:dyDescent="0.35"/>
    <row r="72" outlineLevel="1" x14ac:dyDescent="0.35"/>
    <row r="73" outlineLevel="1" x14ac:dyDescent="0.35"/>
    <row r="74" outlineLevel="1" x14ac:dyDescent="0.35"/>
    <row r="75" outlineLevel="1" x14ac:dyDescent="0.35"/>
    <row r="76" outlineLevel="1" x14ac:dyDescent="0.35"/>
    <row r="77" outlineLevel="1" x14ac:dyDescent="0.35"/>
    <row r="78" outlineLevel="1" x14ac:dyDescent="0.35"/>
    <row r="79" outlineLevel="1" x14ac:dyDescent="0.35"/>
  </sheetData>
  <conditionalFormatting sqref="B7">
    <cfRule type="containsText" dxfId="33" priority="1" operator="containsText" text="viga">
      <formula>NOT(ISERROR(SEARCH("viga",B7)))</formula>
    </cfRule>
  </conditionalFormatting>
  <conditionalFormatting sqref="B14">
    <cfRule type="containsText" dxfId="32" priority="2" operator="containsText" text="viga">
      <formula>NOT(ISERROR(SEARCH("viga",B14)))</formula>
    </cfRule>
  </conditionalFormatting>
  <conditionalFormatting sqref="B16:D16">
    <cfRule type="containsText" dxfId="31" priority="3" operator="containsText" text="viga">
      <formula>NOT(ISERROR(SEARCH("viga",B16)))</formula>
    </cfRule>
  </conditionalFormatting>
  <conditionalFormatting sqref="E7:E8">
    <cfRule type="cellIs" dxfId="30" priority="90" operator="equal">
      <formula>0</formula>
    </cfRule>
  </conditionalFormatting>
  <conditionalFormatting sqref="E35:E36">
    <cfRule type="cellIs" dxfId="29" priority="23" operator="equal">
      <formula>0</formula>
    </cfRule>
  </conditionalFormatting>
  <conditionalFormatting sqref="E14:Q15">
    <cfRule type="cellIs" dxfId="28" priority="83" operator="equal">
      <formula>0</formula>
    </cfRule>
  </conditionalFormatting>
  <conditionalFormatting sqref="E19:Q21 E23:Q26">
    <cfRule type="cellIs" dxfId="27" priority="27" operator="equal">
      <formula>0</formula>
    </cfRule>
  </conditionalFormatting>
  <conditionalFormatting sqref="E42:Q43">
    <cfRule type="cellIs" dxfId="26" priority="21" operator="equal">
      <formula>0</formula>
    </cfRule>
  </conditionalFormatting>
  <conditionalFormatting sqref="F4:Q8">
    <cfRule type="cellIs" dxfId="25" priority="40" operator="equal">
      <formula>0</formula>
    </cfRule>
  </conditionalFormatting>
  <conditionalFormatting sqref="F11:Q13">
    <cfRule type="cellIs" dxfId="24" priority="9" operator="equal">
      <formula>0</formula>
    </cfRule>
  </conditionalFormatting>
  <conditionalFormatting sqref="F32:Q36">
    <cfRule type="cellIs" dxfId="23" priority="14" operator="equal">
      <formula>0</formula>
    </cfRule>
  </conditionalFormatting>
  <conditionalFormatting sqref="F39:Q41">
    <cfRule type="cellIs" dxfId="22" priority="12" operator="equal">
      <formula>0</formula>
    </cfRule>
  </conditionalFormatting>
  <conditionalFormatting sqref="I9">
    <cfRule type="containsText" dxfId="21" priority="5" operator="containsText" text="viga">
      <formula>NOT(ISERROR(SEARCH("viga",I9)))</formula>
    </cfRule>
  </conditionalFormatting>
  <conditionalFormatting sqref="I16">
    <cfRule type="containsText" dxfId="20" priority="51" operator="containsText" text="viga">
      <formula>NOT(ISERROR(SEARCH("viga",I16)))</formula>
    </cfRule>
  </conditionalFormatting>
  <conditionalFormatting sqref="Q9">
    <cfRule type="containsText" dxfId="19" priority="4" operator="containsText" text="viga">
      <formula>NOT(ISERROR(SEARCH("viga",Q9)))</formula>
    </cfRule>
  </conditionalFormatting>
  <conditionalFormatting sqref="Q16">
    <cfRule type="containsText" dxfId="18" priority="6" operator="containsText" text="viga">
      <formula>NOT(ISERROR(SEARCH("viga",Q16)))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2288-D336-4618-A366-EB26C02E5101}">
  <dimension ref="A1:S208"/>
  <sheetViews>
    <sheetView tabSelected="1" zoomScale="99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4" sqref="F14"/>
    </sheetView>
  </sheetViews>
  <sheetFormatPr defaultColWidth="8.90625" defaultRowHeight="12" outlineLevelRow="1" x14ac:dyDescent="0.35"/>
  <cols>
    <col min="1" max="1" width="38.54296875" style="750" customWidth="1"/>
    <col min="2" max="3" width="8.36328125" style="750" customWidth="1"/>
    <col min="4" max="4" width="10.54296875" style="750" customWidth="1"/>
    <col min="5" max="5" width="11.6328125" style="750" customWidth="1"/>
    <col min="6" max="6" width="10.6328125" style="750" customWidth="1"/>
    <col min="7" max="7" width="12" style="750" customWidth="1"/>
    <col min="8" max="8" width="10.90625" style="750" customWidth="1"/>
    <col min="9" max="9" width="9.90625" style="750" customWidth="1"/>
    <col min="10" max="11" width="9.54296875" style="750" bestFit="1" customWidth="1"/>
    <col min="12" max="12" width="10.08984375" style="750" bestFit="1" customWidth="1"/>
    <col min="13" max="13" width="9.453125" style="750" bestFit="1" customWidth="1"/>
    <col min="14" max="16" width="9" style="750" bestFit="1" customWidth="1"/>
    <col min="17" max="16384" width="8.90625" style="750"/>
  </cols>
  <sheetData>
    <row r="1" spans="1:19" s="751" customFormat="1" ht="14.5" x14ac:dyDescent="0.35">
      <c r="A1" s="750"/>
      <c r="E1" s="752">
        <v>1</v>
      </c>
      <c r="F1" s="752">
        <v>2</v>
      </c>
      <c r="G1" s="752">
        <v>3</v>
      </c>
      <c r="H1" s="752">
        <v>4</v>
      </c>
      <c r="I1" s="752">
        <v>5</v>
      </c>
      <c r="J1" s="752">
        <v>6</v>
      </c>
      <c r="K1" s="752">
        <v>7</v>
      </c>
      <c r="L1" s="752">
        <v>8</v>
      </c>
      <c r="M1" s="752">
        <v>9</v>
      </c>
      <c r="N1" s="752">
        <v>10</v>
      </c>
      <c r="O1" s="752">
        <v>11</v>
      </c>
      <c r="P1" s="752">
        <v>12</v>
      </c>
    </row>
    <row r="2" spans="1:19" ht="18.5" x14ac:dyDescent="0.35">
      <c r="A2" s="753" t="s">
        <v>138</v>
      </c>
      <c r="B2" s="754">
        <v>2021</v>
      </c>
      <c r="C2" s="754">
        <v>2022</v>
      </c>
      <c r="D2" s="754">
        <v>2023</v>
      </c>
      <c r="E2" s="754">
        <v>2024</v>
      </c>
      <c r="F2" s="754">
        <v>2025</v>
      </c>
      <c r="G2" s="754">
        <v>2026</v>
      </c>
      <c r="H2" s="754">
        <v>2027</v>
      </c>
      <c r="I2" s="754">
        <v>2028</v>
      </c>
      <c r="J2" s="754">
        <v>2029</v>
      </c>
      <c r="K2" s="754">
        <v>2030</v>
      </c>
      <c r="L2" s="754">
        <v>2031</v>
      </c>
      <c r="M2" s="754">
        <v>2032</v>
      </c>
      <c r="N2" s="754">
        <v>2033</v>
      </c>
      <c r="O2" s="754">
        <v>2034</v>
      </c>
      <c r="P2" s="754">
        <v>2035</v>
      </c>
    </row>
    <row r="3" spans="1:19" s="756" customFormat="1" ht="12.65" customHeight="1" x14ac:dyDescent="0.35">
      <c r="A3" s="639" t="s">
        <v>47</v>
      </c>
      <c r="B3" s="755">
        <v>4.6497999999999998E-2</v>
      </c>
      <c r="C3" s="755">
        <v>0.19400000000000003</v>
      </c>
      <c r="D3" s="755">
        <v>9.5600000000000004E-2</v>
      </c>
      <c r="E3" s="755">
        <v>4.6300000000000001E-2</v>
      </c>
      <c r="F3" s="755">
        <v>2.4899999999999999E-2</v>
      </c>
      <c r="G3" s="755">
        <v>1.7399999999999999E-2</v>
      </c>
      <c r="H3" s="755">
        <v>1.9099999999999999E-2</v>
      </c>
      <c r="I3" s="755">
        <v>0.02</v>
      </c>
      <c r="J3" s="755">
        <v>0.02</v>
      </c>
      <c r="K3" s="755">
        <v>0.02</v>
      </c>
      <c r="L3" s="755">
        <v>0.02</v>
      </c>
      <c r="M3" s="755">
        <v>0.02</v>
      </c>
      <c r="N3" s="755">
        <v>0.02</v>
      </c>
      <c r="O3" s="755">
        <v>0.02</v>
      </c>
      <c r="P3" s="755">
        <v>0.02</v>
      </c>
    </row>
    <row r="4" spans="1:19" s="759" customFormat="1" ht="12.65" customHeight="1" x14ac:dyDescent="0.35">
      <c r="A4" s="653" t="s">
        <v>1005</v>
      </c>
      <c r="B4" s="757"/>
      <c r="C4" s="757"/>
      <c r="D4" s="757"/>
      <c r="E4" s="758">
        <v>1</v>
      </c>
      <c r="F4" s="758">
        <f>E4*(1+F3)</f>
        <v>1.0248999999999999</v>
      </c>
      <c r="G4" s="758">
        <f t="shared" ref="G4:P4" si="0">F4*(1+G3)</f>
        <v>1.0427332600000001</v>
      </c>
      <c r="H4" s="758">
        <f t="shared" si="0"/>
        <v>1.0626494652659999</v>
      </c>
      <c r="I4" s="758">
        <f t="shared" si="0"/>
        <v>1.0839024545713198</v>
      </c>
      <c r="J4" s="758">
        <f t="shared" si="0"/>
        <v>1.1055805036627462</v>
      </c>
      <c r="K4" s="758">
        <f t="shared" si="0"/>
        <v>1.1276921137360012</v>
      </c>
      <c r="L4" s="758">
        <f t="shared" si="0"/>
        <v>1.1502459560107212</v>
      </c>
      <c r="M4" s="758">
        <f t="shared" si="0"/>
        <v>1.1732508751309356</v>
      </c>
      <c r="N4" s="758">
        <f t="shared" si="0"/>
        <v>1.1967158926335544</v>
      </c>
      <c r="O4" s="758">
        <f t="shared" si="0"/>
        <v>1.2206502104862256</v>
      </c>
      <c r="P4" s="758">
        <f t="shared" si="0"/>
        <v>1.2450632146959502</v>
      </c>
    </row>
    <row r="5" spans="1:19" s="756" customFormat="1" ht="12.65" customHeight="1" x14ac:dyDescent="0.35">
      <c r="A5" s="639" t="s">
        <v>1006</v>
      </c>
      <c r="B5" s="755">
        <v>1.7437845303867494E-2</v>
      </c>
      <c r="C5" s="755">
        <v>0.11640929916850506</v>
      </c>
      <c r="D5" s="755">
        <v>0.11171588541666688</v>
      </c>
      <c r="E5" s="755">
        <v>6.6340000000000066E-2</v>
      </c>
      <c r="F5" s="755">
        <v>5.3000000000000158E-2</v>
      </c>
      <c r="G5" s="755">
        <v>4.8499999999999988E-2</v>
      </c>
      <c r="H5" s="755">
        <v>4.4999999999999929E-2</v>
      </c>
      <c r="I5" s="755">
        <v>4.2357434384764581E-2</v>
      </c>
      <c r="J5" s="755">
        <v>4.2227057825253489E-2</v>
      </c>
      <c r="K5" s="755">
        <v>4.2097441551872672E-2</v>
      </c>
      <c r="L5" s="755">
        <v>4.1968581131041294E-2</v>
      </c>
      <c r="M5" s="755">
        <v>4.1840472155032726E-2</v>
      </c>
      <c r="N5" s="755">
        <v>4.1713110241824669E-2</v>
      </c>
      <c r="O5" s="755">
        <v>4.1586491034947048E-2</v>
      </c>
      <c r="P5" s="755">
        <v>4.146061020333569E-2</v>
      </c>
    </row>
    <row r="6" spans="1:19" s="756" customFormat="1" ht="12.65" customHeight="1" x14ac:dyDescent="0.35">
      <c r="A6" s="639" t="s">
        <v>48</v>
      </c>
      <c r="B6" s="760">
        <v>1118.2</v>
      </c>
      <c r="C6" s="761">
        <v>1141</v>
      </c>
      <c r="D6" s="760">
        <f t="shared" ref="D6:P6" si="1">C6*(100%+D5)</f>
        <v>1268.4678252604169</v>
      </c>
      <c r="E6" s="760">
        <f t="shared" si="1"/>
        <v>1352.6179807881931</v>
      </c>
      <c r="F6" s="760">
        <f t="shared" si="1"/>
        <v>1424.3067337699677</v>
      </c>
      <c r="G6" s="760">
        <f t="shared" si="1"/>
        <v>1493.3856103578112</v>
      </c>
      <c r="H6" s="760">
        <f t="shared" si="1"/>
        <v>1560.5879628239127</v>
      </c>
      <c r="I6" s="760">
        <f t="shared" si="1"/>
        <v>1626.6904650608799</v>
      </c>
      <c r="J6" s="760">
        <f t="shared" si="1"/>
        <v>1695.3808173927941</v>
      </c>
      <c r="K6" s="760">
        <f t="shared" si="1"/>
        <v>1766.7520122611534</v>
      </c>
      <c r="L6" s="760">
        <f t="shared" si="1"/>
        <v>1840.900087426166</v>
      </c>
      <c r="M6" s="760">
        <f t="shared" si="1"/>
        <v>1917.9242162743178</v>
      </c>
      <c r="N6" s="760">
        <f t="shared" si="1"/>
        <v>1997.9268005432336</v>
      </c>
      <c r="O6" s="760">
        <f t="shared" si="1"/>
        <v>2081.0135655225054</v>
      </c>
      <c r="P6" s="760">
        <f t="shared" si="1"/>
        <v>2167.2936577904879</v>
      </c>
    </row>
    <row r="7" spans="1:19" x14ac:dyDescent="0.35">
      <c r="A7" s="762" t="s">
        <v>901</v>
      </c>
      <c r="B7" s="763">
        <v>0</v>
      </c>
      <c r="C7" s="763">
        <v>2.5000000000000001E-2</v>
      </c>
      <c r="D7" s="764">
        <v>3.5000000000000003E-2</v>
      </c>
      <c r="E7" s="765">
        <v>0.04</v>
      </c>
      <c r="F7" s="765">
        <v>0.04</v>
      </c>
      <c r="G7" s="765">
        <v>3.7499999999999999E-2</v>
      </c>
      <c r="H7" s="765">
        <v>3.5000000000000003E-2</v>
      </c>
      <c r="I7" s="765">
        <v>0.03</v>
      </c>
      <c r="J7" s="765">
        <v>0.03</v>
      </c>
      <c r="K7" s="765">
        <v>0.03</v>
      </c>
      <c r="L7" s="765">
        <v>0.03</v>
      </c>
      <c r="M7" s="765">
        <v>0.03</v>
      </c>
      <c r="N7" s="765">
        <v>0.03</v>
      </c>
      <c r="O7" s="765">
        <v>0.03</v>
      </c>
      <c r="P7" s="765">
        <v>0.03</v>
      </c>
    </row>
    <row r="8" spans="1:19" x14ac:dyDescent="0.35">
      <c r="A8" s="762" t="s">
        <v>1003</v>
      </c>
      <c r="B8" s="766">
        <f>293163.36/505454.06</f>
        <v>0.58000001028777959</v>
      </c>
      <c r="C8" s="766">
        <v>0.61</v>
      </c>
      <c r="D8" s="766">
        <v>0.72</v>
      </c>
      <c r="E8" s="767">
        <f>$F$14*E$4</f>
        <v>1.08</v>
      </c>
      <c r="F8" s="767">
        <f t="shared" ref="F8:G8" si="2">$F$14*F$4</f>
        <v>1.106892</v>
      </c>
      <c r="G8" s="767">
        <f t="shared" si="2"/>
        <v>1.1261519208000002</v>
      </c>
      <c r="H8" s="767">
        <f>IF($E$18="jah",$F$15*H$4,G8*(1+H3))</f>
        <v>1.1476614224872801</v>
      </c>
      <c r="I8" s="767">
        <f t="shared" ref="I8:P8" si="3">IF($E$18="jah",$F$15*I$4,H8*(1+I3))</f>
        <v>1.1706146509370257</v>
      </c>
      <c r="J8" s="767">
        <f t="shared" si="3"/>
        <v>1.1940269439557663</v>
      </c>
      <c r="K8" s="767">
        <f t="shared" si="3"/>
        <v>1.2179074828348817</v>
      </c>
      <c r="L8" s="767">
        <f t="shared" si="3"/>
        <v>1.2422656324915793</v>
      </c>
      <c r="M8" s="767">
        <f t="shared" si="3"/>
        <v>1.2671109451414109</v>
      </c>
      <c r="N8" s="767">
        <f t="shared" si="3"/>
        <v>1.2924531640442392</v>
      </c>
      <c r="O8" s="767">
        <f t="shared" si="3"/>
        <v>1.3183022273251239</v>
      </c>
      <c r="P8" s="767">
        <f t="shared" si="3"/>
        <v>1.3446682718716265</v>
      </c>
    </row>
    <row r="9" spans="1:19" x14ac:dyDescent="0.35">
      <c r="A9" s="762" t="s">
        <v>1004</v>
      </c>
      <c r="B9" s="766">
        <f>18247.92/152066</f>
        <v>0.11999999999999998</v>
      </c>
      <c r="C9" s="766">
        <v>0.12</v>
      </c>
      <c r="D9" s="766">
        <v>0.14000000000000001</v>
      </c>
      <c r="E9" s="767">
        <f>E8</f>
        <v>1.08</v>
      </c>
      <c r="F9" s="767">
        <f t="shared" ref="F9:P9" si="4">F8</f>
        <v>1.106892</v>
      </c>
      <c r="G9" s="767">
        <f t="shared" si="4"/>
        <v>1.1261519208000002</v>
      </c>
      <c r="H9" s="767">
        <f t="shared" si="4"/>
        <v>1.1476614224872801</v>
      </c>
      <c r="I9" s="767">
        <f t="shared" si="4"/>
        <v>1.1706146509370257</v>
      </c>
      <c r="J9" s="767">
        <f t="shared" si="4"/>
        <v>1.1940269439557663</v>
      </c>
      <c r="K9" s="767">
        <f t="shared" si="4"/>
        <v>1.2179074828348817</v>
      </c>
      <c r="L9" s="767">
        <f t="shared" si="4"/>
        <v>1.2422656324915793</v>
      </c>
      <c r="M9" s="767">
        <f t="shared" si="4"/>
        <v>1.2671109451414109</v>
      </c>
      <c r="N9" s="767">
        <f t="shared" si="4"/>
        <v>1.2924531640442392</v>
      </c>
      <c r="O9" s="767">
        <f t="shared" si="4"/>
        <v>1.3183022273251239</v>
      </c>
      <c r="P9" s="767">
        <f t="shared" si="4"/>
        <v>1.3446682718716265</v>
      </c>
    </row>
    <row r="10" spans="1:19" x14ac:dyDescent="0.35">
      <c r="A10" s="762" t="s">
        <v>1010</v>
      </c>
      <c r="B10" s="768">
        <f>SM!V37</f>
        <v>505454.06</v>
      </c>
      <c r="C10" s="768">
        <f>SM!W37</f>
        <v>540273.77800000005</v>
      </c>
      <c r="D10" s="769">
        <f>Q!I10-Q!I261-Q!I282-Q!I240</f>
        <v>616720.1278806125</v>
      </c>
      <c r="E10" s="769">
        <f>Q!J10-Q!J261-Q!J282-Q!J240</f>
        <v>649467.98247361183</v>
      </c>
      <c r="F10" s="769">
        <f>Q!K10-Q!K261-Q!K282-Q!K240</f>
        <v>690315.63594344212</v>
      </c>
      <c r="G10" s="769">
        <f>Q!L10-Q!L261-Q!L282-Q!L240</f>
        <v>730924.8981112258</v>
      </c>
      <c r="H10" s="769">
        <f>Q!M10-Q!M261-Q!M282-Q!M240</f>
        <v>749053.14068607229</v>
      </c>
      <c r="I10" s="769">
        <f>Q!N10-Q!N261-Q!N282-Q!N240</f>
        <v>751708.51310026424</v>
      </c>
      <c r="J10" s="769">
        <f>Q!O10-Q!O261-Q!O282-Q!O240</f>
        <v>754319.68373713701</v>
      </c>
      <c r="K10" s="769">
        <f>Q!P10-Q!P261-Q!P282-Q!P240</f>
        <v>756911.35549123352</v>
      </c>
      <c r="L10" s="769">
        <f>Q!Q10-Q!Q261-Q!Q282-Q!Q240</f>
        <v>759487.88211332762</v>
      </c>
      <c r="M10" s="769">
        <f>Q!R10-Q!R261-Q!R282-Q!R240</f>
        <v>762057.50454931404</v>
      </c>
      <c r="N10" s="769">
        <f>Q!S10-Q!S261-Q!S282-Q!S240</f>
        <v>764624.62001578719</v>
      </c>
      <c r="O10" s="769">
        <f>Q!T10-Q!T261-Q!T282-Q!T240</f>
        <v>767208.04605801241</v>
      </c>
      <c r="P10" s="769">
        <f>Q!U10-Q!U261-Q!U282-Q!U240</f>
        <v>769818.35211628326</v>
      </c>
    </row>
    <row r="11" spans="1:19" x14ac:dyDescent="0.35">
      <c r="A11" s="762" t="s">
        <v>1011</v>
      </c>
      <c r="B11" s="768">
        <f>SM!V38</f>
        <v>152066</v>
      </c>
      <c r="C11" s="768">
        <f>SM!W38</f>
        <v>129128</v>
      </c>
      <c r="D11" s="769">
        <f>Q!I15-Q!I244-Q!I265-Q!I286</f>
        <v>180699.8551913134</v>
      </c>
      <c r="E11" s="769">
        <f>Q!J15-Q!J244-Q!J265-Q!J286</f>
        <v>193929.40272982628</v>
      </c>
      <c r="F11" s="769">
        <f>Q!K15-Q!K244-Q!K265-Q!K286</f>
        <v>209897.98309641622</v>
      </c>
      <c r="G11" s="769">
        <f>Q!L15-Q!L244-Q!L265-Q!L286</f>
        <v>225826.212809441</v>
      </c>
      <c r="H11" s="769">
        <f>Q!M15-Q!M244-Q!M265-Q!M286</f>
        <v>234299.94840401414</v>
      </c>
      <c r="I11" s="769">
        <f>Q!N15-Q!N244-Q!N265-Q!N286</f>
        <v>237654.79235567321</v>
      </c>
      <c r="J11" s="769">
        <f>Q!O15-Q!O244-Q!O265-Q!O286</f>
        <v>241033.69359932264</v>
      </c>
      <c r="K11" s="769">
        <f>Q!P15-Q!P244-Q!P265-Q!P286</f>
        <v>244444.58744242936</v>
      </c>
      <c r="L11" s="769">
        <f>Q!Q15-Q!Q244-Q!Q265-Q!Q286</f>
        <v>247889.19295330427</v>
      </c>
      <c r="M11" s="769">
        <f>Q!R15-Q!R244-Q!R265-Q!R286</f>
        <v>251370.54933887642</v>
      </c>
      <c r="N11" s="769">
        <f>Q!S15-Q!S244-Q!S265-Q!S286</f>
        <v>254890.55057121601</v>
      </c>
      <c r="O11" s="769">
        <f>Q!T15-Q!T244-Q!T265-Q!T286</f>
        <v>258455.91628136954</v>
      </c>
      <c r="P11" s="769">
        <f>Q!U15-Q!U244-Q!U265-Q!U286</f>
        <v>262070.86737209442</v>
      </c>
    </row>
    <row r="12" spans="1:19" s="756" customFormat="1" ht="12.65" customHeight="1" x14ac:dyDescent="0.35">
      <c r="A12" s="770"/>
      <c r="B12" s="771"/>
      <c r="C12" s="771"/>
      <c r="D12" s="772"/>
      <c r="E12" s="772"/>
      <c r="F12" s="772"/>
      <c r="G12" s="772"/>
      <c r="H12" s="772"/>
      <c r="I12" s="772"/>
      <c r="J12" s="772"/>
      <c r="K12" s="772"/>
      <c r="L12" s="772"/>
      <c r="M12" s="772"/>
      <c r="N12" s="772"/>
      <c r="O12" s="772"/>
      <c r="P12" s="772"/>
    </row>
    <row r="13" spans="1:19" s="756" customFormat="1" ht="12.65" customHeight="1" x14ac:dyDescent="0.35">
      <c r="A13" s="773" t="s">
        <v>189</v>
      </c>
      <c r="B13" s="774">
        <v>1.57</v>
      </c>
      <c r="C13" s="775" t="s">
        <v>46</v>
      </c>
      <c r="D13" s="776"/>
      <c r="E13" s="777" t="s">
        <v>1007</v>
      </c>
      <c r="F13" s="778"/>
      <c r="G13" s="779"/>
      <c r="H13" s="779"/>
      <c r="I13" s="779"/>
      <c r="J13" s="779"/>
      <c r="K13" s="779"/>
      <c r="L13" s="776"/>
      <c r="M13" s="779"/>
      <c r="N13" s="779"/>
      <c r="O13" s="779"/>
      <c r="P13" s="779"/>
      <c r="Q13" s="780"/>
      <c r="R13" s="780"/>
      <c r="S13" s="780"/>
    </row>
    <row r="14" spans="1:19" s="756" customFormat="1" ht="12.65" customHeight="1" x14ac:dyDescent="0.35">
      <c r="A14" s="773" t="s">
        <v>190</v>
      </c>
      <c r="B14" s="774">
        <v>2.13</v>
      </c>
      <c r="C14" s="775" t="s">
        <v>46</v>
      </c>
      <c r="D14" s="776"/>
      <c r="E14" s="781" t="s">
        <v>1008</v>
      </c>
      <c r="F14" s="782">
        <v>1.08</v>
      </c>
      <c r="G14" s="779"/>
      <c r="H14" s="779"/>
      <c r="I14" s="779"/>
      <c r="J14" s="779"/>
      <c r="K14" s="779"/>
      <c r="L14" s="779"/>
      <c r="M14" s="779"/>
      <c r="N14" s="779"/>
      <c r="O14" s="779"/>
      <c r="P14" s="779"/>
      <c r="Q14" s="780"/>
      <c r="R14" s="780"/>
      <c r="S14" s="780"/>
    </row>
    <row r="15" spans="1:19" s="756" customFormat="1" ht="12.65" customHeight="1" x14ac:dyDescent="0.35">
      <c r="A15" s="773" t="s">
        <v>899</v>
      </c>
      <c r="B15" s="774">
        <v>1.94</v>
      </c>
      <c r="C15" s="775" t="s">
        <v>46</v>
      </c>
      <c r="D15" s="779"/>
      <c r="E15" s="781" t="s">
        <v>1009</v>
      </c>
      <c r="F15" s="782">
        <v>2.04</v>
      </c>
      <c r="G15" s="779"/>
      <c r="H15" s="779"/>
      <c r="I15" s="779"/>
      <c r="J15" s="779"/>
      <c r="K15" s="779"/>
      <c r="L15" s="779"/>
      <c r="M15" s="779"/>
      <c r="N15" s="779"/>
      <c r="O15" s="779"/>
      <c r="P15" s="779"/>
      <c r="Q15" s="780"/>
      <c r="R15" s="780"/>
      <c r="S15" s="780"/>
    </row>
    <row r="16" spans="1:19" s="785" customFormat="1" ht="12.65" customHeight="1" x14ac:dyDescent="0.35">
      <c r="A16" s="773" t="s">
        <v>139</v>
      </c>
      <c r="B16" s="783">
        <v>75</v>
      </c>
      <c r="C16" s="775" t="s">
        <v>140</v>
      </c>
      <c r="D16" s="771"/>
      <c r="E16" s="784"/>
      <c r="F16" s="771"/>
      <c r="G16" s="771"/>
      <c r="H16" s="771"/>
      <c r="I16" s="771"/>
      <c r="J16" s="771"/>
      <c r="K16" s="771"/>
      <c r="L16" s="771"/>
      <c r="M16" s="771"/>
      <c r="N16" s="771"/>
      <c r="O16" s="771"/>
      <c r="P16" s="771"/>
    </row>
    <row r="17" spans="1:17" s="785" customFormat="1" ht="12.65" customHeight="1" x14ac:dyDescent="0.35">
      <c r="A17" s="773" t="s">
        <v>900</v>
      </c>
      <c r="B17" s="783">
        <v>100</v>
      </c>
      <c r="C17" s="775" t="s">
        <v>140</v>
      </c>
      <c r="D17" s="771"/>
      <c r="E17" s="786" t="s">
        <v>1013</v>
      </c>
      <c r="F17" s="771"/>
      <c r="G17" s="771"/>
      <c r="H17" s="771"/>
      <c r="I17" s="771"/>
      <c r="J17" s="771"/>
      <c r="K17" s="771"/>
      <c r="L17" s="771"/>
      <c r="M17" s="771"/>
      <c r="N17" s="771"/>
      <c r="O17" s="771"/>
      <c r="P17" s="771"/>
    </row>
    <row r="18" spans="1:17" s="785" customFormat="1" ht="12.65" customHeight="1" x14ac:dyDescent="0.35">
      <c r="A18" s="773" t="s">
        <v>188</v>
      </c>
      <c r="B18" s="787">
        <v>6.2799999999999995E-2</v>
      </c>
      <c r="C18" s="775" t="s">
        <v>131</v>
      </c>
      <c r="D18" s="771"/>
      <c r="E18" s="788" t="s">
        <v>1081</v>
      </c>
      <c r="F18" s="771"/>
      <c r="G18" s="771"/>
      <c r="H18" s="771"/>
      <c r="I18" s="771"/>
      <c r="J18" s="771"/>
      <c r="K18" s="771"/>
      <c r="L18" s="771"/>
      <c r="M18" s="771"/>
      <c r="N18" s="771"/>
      <c r="O18" s="771"/>
      <c r="P18" s="771"/>
    </row>
    <row r="19" spans="1:17" s="785" customFormat="1" ht="12.65" customHeight="1" x14ac:dyDescent="0.35">
      <c r="A19" s="773" t="s">
        <v>193</v>
      </c>
      <c r="B19" s="789">
        <v>20</v>
      </c>
      <c r="C19" s="775" t="s">
        <v>41</v>
      </c>
      <c r="D19" s="771"/>
      <c r="E19" s="771"/>
      <c r="F19" s="771"/>
      <c r="G19" s="771"/>
      <c r="H19" s="771"/>
      <c r="I19" s="771"/>
      <c r="J19" s="771"/>
      <c r="K19" s="771"/>
      <c r="L19" s="771"/>
      <c r="M19" s="771"/>
      <c r="N19" s="771"/>
      <c r="O19" s="771"/>
      <c r="P19" s="771"/>
    </row>
    <row r="20" spans="1:17" s="785" customFormat="1" ht="12.65" customHeight="1" x14ac:dyDescent="0.35">
      <c r="A20" s="773" t="s">
        <v>195</v>
      </c>
      <c r="B20" s="790">
        <v>0.8</v>
      </c>
      <c r="C20" s="775" t="s">
        <v>131</v>
      </c>
      <c r="D20" s="771"/>
      <c r="E20" s="771"/>
      <c r="F20" s="771"/>
      <c r="G20" s="771"/>
      <c r="H20" s="771"/>
      <c r="I20" s="771"/>
      <c r="J20" s="771"/>
      <c r="K20" s="771"/>
      <c r="L20" s="771"/>
      <c r="M20" s="771"/>
      <c r="N20" s="771"/>
      <c r="O20" s="771"/>
      <c r="P20" s="771"/>
    </row>
    <row r="21" spans="1:17" s="785" customFormat="1" ht="12.65" customHeight="1" x14ac:dyDescent="0.35">
      <c r="A21" s="773" t="s">
        <v>194</v>
      </c>
      <c r="B21" s="791">
        <v>1.2500000000000001E-2</v>
      </c>
      <c r="C21" s="775" t="s">
        <v>131</v>
      </c>
      <c r="D21" s="771"/>
      <c r="E21" s="771"/>
      <c r="F21" s="771"/>
      <c r="G21" s="771"/>
      <c r="H21" s="771"/>
      <c r="I21" s="771"/>
      <c r="J21" s="771"/>
      <c r="K21" s="771"/>
      <c r="L21" s="771"/>
      <c r="M21" s="771"/>
      <c r="N21" s="771"/>
      <c r="O21" s="771"/>
      <c r="P21" s="771"/>
    </row>
    <row r="23" spans="1:17" ht="18.5" x14ac:dyDescent="0.35">
      <c r="A23" s="753" t="s">
        <v>174</v>
      </c>
      <c r="B23" s="792"/>
    </row>
    <row r="24" spans="1:17" x14ac:dyDescent="0.35">
      <c r="A24" s="793" t="s">
        <v>145</v>
      </c>
      <c r="B24" s="793"/>
      <c r="C24" s="794"/>
      <c r="D24" s="795"/>
      <c r="E24" s="796"/>
      <c r="F24" s="794"/>
      <c r="G24" s="797"/>
      <c r="H24" s="796"/>
      <c r="I24" s="796"/>
      <c r="J24" s="796"/>
      <c r="K24" s="796"/>
      <c r="L24" s="796"/>
      <c r="M24" s="796"/>
      <c r="N24" s="794"/>
      <c r="O24" s="794"/>
      <c r="P24" s="794"/>
    </row>
    <row r="25" spans="1:17" s="799" customFormat="1" hidden="1" outlineLevel="1" x14ac:dyDescent="0.35">
      <c r="A25" s="798" t="s">
        <v>151</v>
      </c>
      <c r="C25" s="800">
        <f>AVERAGE(C63/SUM(C63:C65),B13/(SUM(B13:B14)))</f>
        <v>0.41190012267371678</v>
      </c>
      <c r="D25" s="801">
        <f>Fin!I12</f>
        <v>108049.74168002354</v>
      </c>
      <c r="E25" s="802">
        <f>D25+D25*E$5</f>
        <v>115217.76154307631</v>
      </c>
      <c r="F25" s="802">
        <f t="shared" ref="F25:P25" si="5">E25+E25*F$5</f>
        <v>121324.30290485937</v>
      </c>
      <c r="G25" s="802">
        <f t="shared" si="5"/>
        <v>127208.53159574505</v>
      </c>
      <c r="H25" s="802">
        <f t="shared" si="5"/>
        <v>132932.91551755357</v>
      </c>
      <c r="I25" s="802">
        <f t="shared" si="5"/>
        <v>138563.61276416379</v>
      </c>
      <c r="J25" s="802">
        <f t="shared" si="5"/>
        <v>144414.74645283216</v>
      </c>
      <c r="K25" s="802">
        <f t="shared" si="5"/>
        <v>150494.23780085877</v>
      </c>
      <c r="L25" s="802">
        <f t="shared" si="5"/>
        <v>156810.26742975833</v>
      </c>
      <c r="M25" s="802">
        <f t="shared" si="5"/>
        <v>163371.28305777637</v>
      </c>
      <c r="N25" s="802">
        <f t="shared" si="5"/>
        <v>170186.00739831373</v>
      </c>
      <c r="O25" s="802">
        <f t="shared" si="5"/>
        <v>177263.44626925714</v>
      </c>
      <c r="P25" s="802">
        <f t="shared" si="5"/>
        <v>184612.89691832676</v>
      </c>
    </row>
    <row r="26" spans="1:17" s="799" customFormat="1" hidden="1" outlineLevel="1" x14ac:dyDescent="0.35">
      <c r="A26" s="798" t="s">
        <v>152</v>
      </c>
      <c r="D26" s="801">
        <f>Fin!I13</f>
        <v>230055.51479608938</v>
      </c>
      <c r="E26" s="802">
        <f t="shared" ref="E26:P26" si="6">D26*E63/D63*(100%+E$3)</f>
        <v>249293.79911506322</v>
      </c>
      <c r="F26" s="802">
        <f t="shared" si="6"/>
        <v>267974.40329666383</v>
      </c>
      <c r="G26" s="802">
        <f t="shared" si="6"/>
        <v>290336.13756242051</v>
      </c>
      <c r="H26" s="802">
        <f t="shared" si="6"/>
        <v>305169.95289139688</v>
      </c>
      <c r="I26" s="802">
        <f t="shared" si="6"/>
        <v>313688.63985151949</v>
      </c>
      <c r="J26" s="802">
        <f t="shared" si="6"/>
        <v>322399.51021079044</v>
      </c>
      <c r="K26" s="802">
        <f t="shared" si="6"/>
        <v>331324.93323889462</v>
      </c>
      <c r="L26" s="802">
        <f t="shared" si="6"/>
        <v>340473.12656575517</v>
      </c>
      <c r="M26" s="802">
        <f t="shared" si="6"/>
        <v>349855.79808974196</v>
      </c>
      <c r="N26" s="802">
        <f t="shared" si="6"/>
        <v>359482.21553914197</v>
      </c>
      <c r="O26" s="802">
        <f t="shared" si="6"/>
        <v>369374.07470556453</v>
      </c>
      <c r="P26" s="802">
        <f t="shared" si="6"/>
        <v>379547.5805664013</v>
      </c>
    </row>
    <row r="27" spans="1:17" s="799" customFormat="1" hidden="1" outlineLevel="1" x14ac:dyDescent="0.35">
      <c r="A27" s="803" t="s">
        <v>153</v>
      </c>
      <c r="B27" s="804"/>
      <c r="C27" s="805"/>
      <c r="D27" s="806">
        <f>Fin!I14</f>
        <v>85471.687792058059</v>
      </c>
      <c r="E27" s="807">
        <f t="shared" ref="E27:P27" si="7">D27+D27*E$3</f>
        <v>89429.026936830342</v>
      </c>
      <c r="F27" s="807">
        <f t="shared" si="7"/>
        <v>91655.809707557419</v>
      </c>
      <c r="G27" s="807">
        <f t="shared" si="7"/>
        <v>93250.620796468924</v>
      </c>
      <c r="H27" s="807">
        <f t="shared" si="7"/>
        <v>95031.707653681486</v>
      </c>
      <c r="I27" s="807">
        <f t="shared" si="7"/>
        <v>96932.34180675511</v>
      </c>
      <c r="J27" s="807">
        <f t="shared" si="7"/>
        <v>98870.98864289021</v>
      </c>
      <c r="K27" s="807">
        <f t="shared" si="7"/>
        <v>100848.40841574801</v>
      </c>
      <c r="L27" s="807">
        <f t="shared" si="7"/>
        <v>102865.37658406296</v>
      </c>
      <c r="M27" s="807">
        <f t="shared" si="7"/>
        <v>104922.68411574422</v>
      </c>
      <c r="N27" s="807">
        <f t="shared" si="7"/>
        <v>107021.13779805911</v>
      </c>
      <c r="O27" s="807">
        <f t="shared" si="7"/>
        <v>109161.56055402028</v>
      </c>
      <c r="P27" s="807">
        <f t="shared" si="7"/>
        <v>111344.79176510069</v>
      </c>
    </row>
    <row r="28" spans="1:17" s="799" customFormat="1" hidden="1" outlineLevel="1" x14ac:dyDescent="0.35">
      <c r="A28" s="798" t="s">
        <v>154</v>
      </c>
      <c r="C28" s="800">
        <f>100%-C25</f>
        <v>0.58809987732628322</v>
      </c>
      <c r="D28" s="801">
        <f>Fin!I16</f>
        <v>213950.25831997645</v>
      </c>
      <c r="E28" s="802">
        <f>(D28+D28*E$5)</f>
        <v>228143.7184569237</v>
      </c>
      <c r="F28" s="802">
        <f t="shared" ref="F28:P28" si="8">(E28+E28*F$5)</f>
        <v>240235.33553514068</v>
      </c>
      <c r="G28" s="802">
        <f t="shared" si="8"/>
        <v>251886.749308595</v>
      </c>
      <c r="H28" s="802">
        <f t="shared" si="8"/>
        <v>263221.65302748175</v>
      </c>
      <c r="I28" s="802">
        <f t="shared" si="8"/>
        <v>274371.04692424258</v>
      </c>
      <c r="J28" s="802">
        <f t="shared" si="8"/>
        <v>285956.92898828792</v>
      </c>
      <c r="K28" s="802">
        <f t="shared" si="8"/>
        <v>297994.98409272538</v>
      </c>
      <c r="L28" s="802">
        <f t="shared" si="8"/>
        <v>310501.41075926431</v>
      </c>
      <c r="M28" s="802">
        <f t="shared" si="8"/>
        <v>323492.93639023567</v>
      </c>
      <c r="N28" s="802">
        <f t="shared" si="8"/>
        <v>336986.83290833316</v>
      </c>
      <c r="O28" s="802">
        <f t="shared" si="8"/>
        <v>351000.93281397078</v>
      </c>
      <c r="P28" s="802">
        <f t="shared" si="8"/>
        <v>365553.64567037806</v>
      </c>
    </row>
    <row r="29" spans="1:17" s="799" customFormat="1" hidden="1" outlineLevel="1" x14ac:dyDescent="0.35">
      <c r="A29" s="808" t="s">
        <v>998</v>
      </c>
      <c r="C29" s="800"/>
      <c r="D29" s="809">
        <f>D10*D8+D11*D9</f>
        <v>469336.47180082486</v>
      </c>
      <c r="E29" s="810">
        <f t="shared" ref="E29:P29" si="9">E10*E8+E11*E9</f>
        <v>910869.17601971328</v>
      </c>
      <c r="F29" s="810">
        <f t="shared" si="9"/>
        <v>996439.25320626691</v>
      </c>
      <c r="G29" s="810">
        <f t="shared" si="9"/>
        <v>1077447.101290843</v>
      </c>
      <c r="H29" s="810">
        <f t="shared" si="9"/>
        <v>1128556.4050323896</v>
      </c>
      <c r="I29" s="810">
        <f t="shared" si="9"/>
        <v>1158163.1804662042</v>
      </c>
      <c r="J29" s="810">
        <f t="shared" si="9"/>
        <v>1188478.7512971037</v>
      </c>
      <c r="K29" s="810">
        <f t="shared" si="9"/>
        <v>1219558.8958800868</v>
      </c>
      <c r="L29" s="810">
        <f t="shared" si="9"/>
        <v>1251429.9193151665</v>
      </c>
      <c r="M29" s="810">
        <f t="shared" si="9"/>
        <v>1284125.7791950856</v>
      </c>
      <c r="N29" s="810">
        <f t="shared" si="9"/>
        <v>1317675.6080162744</v>
      </c>
      <c r="O29" s="810">
        <f t="shared" si="9"/>
        <v>1352135.0860391192</v>
      </c>
      <c r="P29" s="810">
        <f t="shared" si="9"/>
        <v>1387548.6935323984</v>
      </c>
    </row>
    <row r="30" spans="1:17" s="799" customFormat="1" hidden="1" outlineLevel="1" x14ac:dyDescent="0.35">
      <c r="A30" s="798" t="s">
        <v>999</v>
      </c>
      <c r="C30" s="800"/>
      <c r="D30" s="801">
        <f>Fin!I18</f>
        <v>210009.69673881266</v>
      </c>
      <c r="E30" s="802">
        <f>D30*(E64+E65)/(D64+D65)*(100%+E$3)</f>
        <v>231199.63159444366</v>
      </c>
      <c r="F30" s="802">
        <f t="shared" ref="F30:P30" si="10">E30*(F64+F65)/(E64+E65)*(100%+F$3)</f>
        <v>251606.20780151399</v>
      </c>
      <c r="G30" s="802">
        <f t="shared" si="10"/>
        <v>271183.29695288208</v>
      </c>
      <c r="H30" s="802">
        <f t="shared" si="10"/>
        <v>283553.99494120688</v>
      </c>
      <c r="I30" s="802">
        <f t="shared" si="10"/>
        <v>290306.72798067302</v>
      </c>
      <c r="J30" s="802">
        <f t="shared" si="10"/>
        <v>297198.80964902783</v>
      </c>
      <c r="K30" s="802">
        <f t="shared" si="10"/>
        <v>304242.89867278165</v>
      </c>
      <c r="L30" s="802">
        <f t="shared" si="10"/>
        <v>311443.98480578541</v>
      </c>
      <c r="M30" s="802">
        <f t="shared" si="10"/>
        <v>318808.93014973216</v>
      </c>
      <c r="N30" s="802">
        <f t="shared" si="10"/>
        <v>326343.27359240205</v>
      </c>
      <c r="O30" s="802">
        <f t="shared" si="10"/>
        <v>334059.20545444358</v>
      </c>
      <c r="P30" s="802">
        <f t="shared" si="10"/>
        <v>341965.93357922218</v>
      </c>
    </row>
    <row r="31" spans="1:17" s="799" customFormat="1" hidden="1" outlineLevel="1" x14ac:dyDescent="0.35">
      <c r="A31" s="803" t="s">
        <v>155</v>
      </c>
      <c r="B31" s="804"/>
      <c r="C31" s="805"/>
      <c r="D31" s="806">
        <f>Fin!I19</f>
        <v>169243.25220794193</v>
      </c>
      <c r="E31" s="807">
        <f>D31+D31*E$3</f>
        <v>177079.21478516964</v>
      </c>
      <c r="F31" s="807">
        <f t="shared" ref="F31:P31" si="11">E31+E31*F$3</f>
        <v>181488.48723332037</v>
      </c>
      <c r="G31" s="807">
        <f t="shared" si="11"/>
        <v>184646.38691118013</v>
      </c>
      <c r="H31" s="807">
        <f t="shared" si="11"/>
        <v>188173.13290118368</v>
      </c>
      <c r="I31" s="807">
        <f t="shared" si="11"/>
        <v>191936.59555920734</v>
      </c>
      <c r="J31" s="807">
        <f t="shared" si="11"/>
        <v>195775.32747039149</v>
      </c>
      <c r="K31" s="807">
        <f t="shared" si="11"/>
        <v>199690.83401979931</v>
      </c>
      <c r="L31" s="807">
        <f t="shared" si="11"/>
        <v>203684.65070019529</v>
      </c>
      <c r="M31" s="807">
        <f t="shared" si="11"/>
        <v>207758.3437141992</v>
      </c>
      <c r="N31" s="807">
        <f t="shared" si="11"/>
        <v>211913.51058848319</v>
      </c>
      <c r="O31" s="807">
        <f t="shared" si="11"/>
        <v>216151.78080025286</v>
      </c>
      <c r="P31" s="807">
        <f t="shared" si="11"/>
        <v>220474.81641625791</v>
      </c>
    </row>
    <row r="32" spans="1:17" collapsed="1" x14ac:dyDescent="0.35">
      <c r="A32" s="792" t="s">
        <v>156</v>
      </c>
      <c r="C32" s="811"/>
      <c r="D32" s="801">
        <f>SUM(D25:D27)</f>
        <v>423576.94426817098</v>
      </c>
      <c r="E32" s="812">
        <f>SUM(E25:E27)</f>
        <v>453940.5875949699</v>
      </c>
      <c r="F32" s="812">
        <f t="shared" ref="F32:P32" si="12">SUM(F25:F27)</f>
        <v>480954.51590908063</v>
      </c>
      <c r="G32" s="812">
        <f t="shared" si="12"/>
        <v>510795.2899546345</v>
      </c>
      <c r="H32" s="812">
        <f t="shared" si="12"/>
        <v>533134.57606263191</v>
      </c>
      <c r="I32" s="812">
        <f t="shared" si="12"/>
        <v>549184.59442243841</v>
      </c>
      <c r="J32" s="812">
        <f t="shared" si="12"/>
        <v>565685.24530651281</v>
      </c>
      <c r="K32" s="812">
        <f t="shared" si="12"/>
        <v>582667.5794555014</v>
      </c>
      <c r="L32" s="812">
        <f t="shared" si="12"/>
        <v>600148.77057957649</v>
      </c>
      <c r="M32" s="812">
        <f t="shared" si="12"/>
        <v>618149.76526326255</v>
      </c>
      <c r="N32" s="812">
        <f t="shared" si="12"/>
        <v>636689.36073551478</v>
      </c>
      <c r="O32" s="812">
        <f t="shared" si="12"/>
        <v>655799.08152884198</v>
      </c>
      <c r="P32" s="812">
        <f t="shared" si="12"/>
        <v>675505.26924982877</v>
      </c>
      <c r="Q32" s="813"/>
    </row>
    <row r="33" spans="1:17" x14ac:dyDescent="0.35">
      <c r="A33" s="814" t="s">
        <v>157</v>
      </c>
      <c r="B33" s="815"/>
      <c r="C33" s="816"/>
      <c r="D33" s="806">
        <f>SUM(D28:D31)</f>
        <v>1062539.6790675558</v>
      </c>
      <c r="E33" s="817">
        <f>SUM(E28:E31)</f>
        <v>1547291.7408562503</v>
      </c>
      <c r="F33" s="817">
        <f>SUM(F28:F31)</f>
        <v>1669769.2837762418</v>
      </c>
      <c r="G33" s="817">
        <f t="shared" ref="G33:P33" si="13">SUM(G28:G31)</f>
        <v>1785163.5344635001</v>
      </c>
      <c r="H33" s="817">
        <f t="shared" si="13"/>
        <v>1863505.1859022616</v>
      </c>
      <c r="I33" s="817">
        <f t="shared" si="13"/>
        <v>1914777.550930327</v>
      </c>
      <c r="J33" s="817">
        <f t="shared" si="13"/>
        <v>1967409.817404811</v>
      </c>
      <c r="K33" s="817">
        <f t="shared" si="13"/>
        <v>2021487.6126653932</v>
      </c>
      <c r="L33" s="817">
        <f t="shared" si="13"/>
        <v>2077059.9655804115</v>
      </c>
      <c r="M33" s="817">
        <f t="shared" si="13"/>
        <v>2134185.9894492524</v>
      </c>
      <c r="N33" s="817">
        <f t="shared" si="13"/>
        <v>2192919.2251054929</v>
      </c>
      <c r="O33" s="817">
        <f t="shared" si="13"/>
        <v>2253347.0051077865</v>
      </c>
      <c r="P33" s="817">
        <f t="shared" si="13"/>
        <v>2315543.0891982568</v>
      </c>
    </row>
    <row r="34" spans="1:17" ht="12.5" thickBot="1" x14ac:dyDescent="0.4">
      <c r="A34" s="818" t="s">
        <v>62</v>
      </c>
      <c r="B34" s="819"/>
      <c r="C34" s="819"/>
      <c r="D34" s="820">
        <f>D32+D33</f>
        <v>1486116.6233357268</v>
      </c>
      <c r="E34" s="820">
        <f>E32+E33</f>
        <v>2001232.3284512202</v>
      </c>
      <c r="F34" s="820">
        <f t="shared" ref="F34:P34" si="14">F32+F33</f>
        <v>2150723.7996853227</v>
      </c>
      <c r="G34" s="820">
        <f t="shared" si="14"/>
        <v>2295958.8244181345</v>
      </c>
      <c r="H34" s="820">
        <f t="shared" si="14"/>
        <v>2396639.7619648934</v>
      </c>
      <c r="I34" s="820">
        <f t="shared" si="14"/>
        <v>2463962.1453527655</v>
      </c>
      <c r="J34" s="820">
        <f t="shared" si="14"/>
        <v>2533095.0627113236</v>
      </c>
      <c r="K34" s="820">
        <f t="shared" si="14"/>
        <v>2604155.1921208948</v>
      </c>
      <c r="L34" s="820">
        <f t="shared" si="14"/>
        <v>2677208.7361599877</v>
      </c>
      <c r="M34" s="820">
        <f t="shared" si="14"/>
        <v>2752335.754712515</v>
      </c>
      <c r="N34" s="820">
        <f t="shared" si="14"/>
        <v>2829608.5858410075</v>
      </c>
      <c r="O34" s="820">
        <f t="shared" si="14"/>
        <v>2909146.0866366285</v>
      </c>
      <c r="P34" s="820">
        <f t="shared" si="14"/>
        <v>2991048.3584480854</v>
      </c>
    </row>
    <row r="35" spans="1:17" outlineLevel="1" x14ac:dyDescent="0.35">
      <c r="A35" s="821" t="s">
        <v>144</v>
      </c>
      <c r="B35" s="822"/>
      <c r="C35" s="823"/>
      <c r="D35" s="824"/>
      <c r="E35" s="825"/>
      <c r="F35" s="823"/>
      <c r="G35" s="826"/>
      <c r="H35" s="825"/>
      <c r="I35" s="825"/>
      <c r="J35" s="825"/>
      <c r="K35" s="825"/>
      <c r="L35" s="825"/>
      <c r="M35" s="825"/>
      <c r="N35" s="823"/>
      <c r="O35" s="823"/>
      <c r="P35" s="823"/>
    </row>
    <row r="36" spans="1:17" s="830" customFormat="1" outlineLevel="1" x14ac:dyDescent="0.35">
      <c r="A36" s="827" t="s">
        <v>78</v>
      </c>
      <c r="B36" s="828">
        <f>-Fin!D22</f>
        <v>-66742</v>
      </c>
      <c r="C36" s="828">
        <f>-Fin!E22</f>
        <v>-88449.419999999765</v>
      </c>
      <c r="D36" s="801">
        <f>-Fin!F22</f>
        <v>-160356</v>
      </c>
      <c r="E36" s="829">
        <f>IF(ROUND(D37,0)=0,0,(IF(-D36&gt;D37,-D37,D36)))</f>
        <v>-160356</v>
      </c>
      <c r="F36" s="829">
        <f t="shared" ref="F36:P36" si="15">IF(ROUND(E37,0)=0,0,(IF(-E36&gt;E37,-E37,E36)))</f>
        <v>-160356</v>
      </c>
      <c r="G36" s="829">
        <f t="shared" si="15"/>
        <v>-160356</v>
      </c>
      <c r="H36" s="829">
        <f t="shared" si="15"/>
        <v>-160356</v>
      </c>
      <c r="I36" s="829">
        <f t="shared" si="15"/>
        <v>-160356</v>
      </c>
      <c r="J36" s="829">
        <f t="shared" si="15"/>
        <v>-160356</v>
      </c>
      <c r="K36" s="829">
        <f t="shared" si="15"/>
        <v>-160356</v>
      </c>
      <c r="L36" s="829">
        <f t="shared" si="15"/>
        <v>-160356</v>
      </c>
      <c r="M36" s="829">
        <f t="shared" si="15"/>
        <v>-160356</v>
      </c>
      <c r="N36" s="829">
        <f t="shared" si="15"/>
        <v>-160356</v>
      </c>
      <c r="O36" s="829">
        <f t="shared" si="15"/>
        <v>-160356</v>
      </c>
      <c r="P36" s="829">
        <f t="shared" si="15"/>
        <v>-160356</v>
      </c>
      <c r="Q36" s="813" t="s">
        <v>191</v>
      </c>
    </row>
    <row r="37" spans="1:17" s="830" customFormat="1" outlineLevel="1" x14ac:dyDescent="0.35">
      <c r="A37" s="831" t="s">
        <v>79</v>
      </c>
      <c r="B37" s="832">
        <f>Fin!D26</f>
        <v>1970408.9000000011</v>
      </c>
      <c r="C37" s="832">
        <f>Fin!E26</f>
        <v>4498715.6099999985</v>
      </c>
      <c r="D37" s="833">
        <f>Fin!F26</f>
        <v>4568400</v>
      </c>
      <c r="E37" s="834">
        <f>IF(ROUND(D37+E36,0)=0,0,D37+E36)</f>
        <v>4408044</v>
      </c>
      <c r="F37" s="834">
        <f t="shared" ref="F37:P37" si="16">IF(ROUND(E37+F36,0)=0,0,E37+F36)</f>
        <v>4247688</v>
      </c>
      <c r="G37" s="834">
        <f t="shared" si="16"/>
        <v>4087332</v>
      </c>
      <c r="H37" s="834">
        <f t="shared" si="16"/>
        <v>3926976</v>
      </c>
      <c r="I37" s="834">
        <f t="shared" si="16"/>
        <v>3766620</v>
      </c>
      <c r="J37" s="834">
        <f t="shared" si="16"/>
        <v>3606264</v>
      </c>
      <c r="K37" s="834">
        <f t="shared" si="16"/>
        <v>3445908</v>
      </c>
      <c r="L37" s="834">
        <f t="shared" si="16"/>
        <v>3285552</v>
      </c>
      <c r="M37" s="834">
        <f t="shared" si="16"/>
        <v>3125196</v>
      </c>
      <c r="N37" s="834">
        <f t="shared" si="16"/>
        <v>2964840</v>
      </c>
      <c r="O37" s="834">
        <f t="shared" si="16"/>
        <v>2804484</v>
      </c>
      <c r="P37" s="834">
        <f t="shared" si="16"/>
        <v>2644128</v>
      </c>
      <c r="Q37" s="813" t="s">
        <v>870</v>
      </c>
    </row>
    <row r="38" spans="1:17" s="830" customFormat="1" outlineLevel="1" x14ac:dyDescent="0.35">
      <c r="A38" s="827" t="s">
        <v>80</v>
      </c>
      <c r="B38" s="828">
        <f>-(Fin!D23)</f>
        <v>-92955</v>
      </c>
      <c r="C38" s="828">
        <f>-(Fin!E23)</f>
        <v>-96546.999999999505</v>
      </c>
      <c r="D38" s="835">
        <f>-(Fin!F23)</f>
        <v>-199656</v>
      </c>
      <c r="E38" s="829">
        <f t="shared" ref="E38:P38" si="17">IF(ROUND(D39,0)=0,0,(IF(-D38&gt;D39,-D39,D38)))</f>
        <v>-199656</v>
      </c>
      <c r="F38" s="829">
        <f t="shared" si="17"/>
        <v>-199656</v>
      </c>
      <c r="G38" s="829">
        <f t="shared" si="17"/>
        <v>-199656</v>
      </c>
      <c r="H38" s="829">
        <f t="shared" si="17"/>
        <v>-199656</v>
      </c>
      <c r="I38" s="829">
        <f t="shared" si="17"/>
        <v>-199656</v>
      </c>
      <c r="J38" s="829">
        <f t="shared" si="17"/>
        <v>-199656</v>
      </c>
      <c r="K38" s="829">
        <f t="shared" si="17"/>
        <v>-199656</v>
      </c>
      <c r="L38" s="829">
        <f t="shared" si="17"/>
        <v>-199656</v>
      </c>
      <c r="M38" s="829">
        <f t="shared" si="17"/>
        <v>-199656</v>
      </c>
      <c r="N38" s="829">
        <f t="shared" si="17"/>
        <v>-199656</v>
      </c>
      <c r="O38" s="829">
        <f t="shared" si="17"/>
        <v>-199656</v>
      </c>
      <c r="P38" s="829">
        <f t="shared" si="17"/>
        <v>-199656</v>
      </c>
      <c r="Q38" s="813" t="s">
        <v>902</v>
      </c>
    </row>
    <row r="39" spans="1:17" s="830" customFormat="1" outlineLevel="1" x14ac:dyDescent="0.35">
      <c r="A39" s="831" t="s">
        <v>81</v>
      </c>
      <c r="B39" s="832">
        <f>Fin!D27</f>
        <v>2368256.0499999933</v>
      </c>
      <c r="C39" s="832">
        <f>Fin!E27</f>
        <v>5696728.7200000016</v>
      </c>
      <c r="D39" s="833">
        <f>Fin!F27</f>
        <v>5500300</v>
      </c>
      <c r="E39" s="834">
        <f t="shared" ref="E39:P39" si="18">IF(ROUND(D39+E38,0)=0,0,D39+E38)</f>
        <v>5300644</v>
      </c>
      <c r="F39" s="834">
        <f t="shared" si="18"/>
        <v>5100988</v>
      </c>
      <c r="G39" s="834">
        <f t="shared" si="18"/>
        <v>4901332</v>
      </c>
      <c r="H39" s="834">
        <f t="shared" si="18"/>
        <v>4701676</v>
      </c>
      <c r="I39" s="834">
        <f t="shared" si="18"/>
        <v>4502020</v>
      </c>
      <c r="J39" s="834">
        <f t="shared" si="18"/>
        <v>4302364</v>
      </c>
      <c r="K39" s="834">
        <f t="shared" si="18"/>
        <v>4102708</v>
      </c>
      <c r="L39" s="834">
        <f t="shared" si="18"/>
        <v>3903052</v>
      </c>
      <c r="M39" s="834">
        <f t="shared" si="18"/>
        <v>3703396</v>
      </c>
      <c r="N39" s="834">
        <f t="shared" si="18"/>
        <v>3503740</v>
      </c>
      <c r="O39" s="834">
        <f t="shared" si="18"/>
        <v>3304084</v>
      </c>
      <c r="P39" s="834">
        <f t="shared" si="18"/>
        <v>3104428</v>
      </c>
    </row>
    <row r="40" spans="1:17" outlineLevel="1" x14ac:dyDescent="0.35">
      <c r="A40" s="821" t="s">
        <v>143</v>
      </c>
      <c r="B40" s="822"/>
      <c r="C40" s="823"/>
      <c r="D40" s="824"/>
      <c r="E40" s="825"/>
      <c r="F40" s="823"/>
      <c r="G40" s="826"/>
      <c r="H40" s="825"/>
      <c r="I40" s="825"/>
      <c r="J40" s="825"/>
      <c r="K40" s="825"/>
      <c r="L40" s="825"/>
      <c r="M40" s="825"/>
      <c r="N40" s="823"/>
      <c r="O40" s="823"/>
      <c r="P40" s="823"/>
    </row>
    <row r="41" spans="1:17" s="830" customFormat="1" outlineLevel="1" x14ac:dyDescent="0.35">
      <c r="A41" s="827" t="s">
        <v>78</v>
      </c>
      <c r="B41" s="836"/>
      <c r="C41" s="837"/>
      <c r="D41" s="838">
        <f>-'Inv-amort'!E35</f>
        <v>0</v>
      </c>
      <c r="E41" s="838">
        <f>-'Inv-amort'!F35</f>
        <v>-11314.999999999998</v>
      </c>
      <c r="F41" s="838">
        <f>-'Inv-amort'!G35</f>
        <v>-17888.050955833329</v>
      </c>
      <c r="G41" s="838">
        <f>-'Inv-amort'!H35</f>
        <v>-19565.052789559832</v>
      </c>
      <c r="H41" s="838">
        <f>-'Inv-amort'!I35</f>
        <v>-25675.287214839329</v>
      </c>
      <c r="I41" s="838">
        <f>-'Inv-amort'!J35</f>
        <v>-31542.578108346272</v>
      </c>
      <c r="J41" s="838">
        <f>-'Inv-amort'!K35</f>
        <v>-37527.214819723355</v>
      </c>
      <c r="K41" s="838">
        <f>-'Inv-amort'!L35</f>
        <v>-43631.544265327975</v>
      </c>
      <c r="L41" s="838">
        <f>-'Inv-amort'!M35</f>
        <v>-49857.960299844686</v>
      </c>
      <c r="M41" s="838">
        <f>-'Inv-amort'!N35</f>
        <v>-56208.904655051738</v>
      </c>
      <c r="N41" s="838">
        <f>-'Inv-amort'!O35</f>
        <v>-62686.867897362936</v>
      </c>
      <c r="O41" s="838">
        <f>-'Inv-amort'!P35</f>
        <v>-69294.390404520353</v>
      </c>
      <c r="P41" s="838">
        <f>-'Inv-amort'!Q35</f>
        <v>-76034.063361820925</v>
      </c>
      <c r="Q41" s="813" t="s">
        <v>939</v>
      </c>
    </row>
    <row r="42" spans="1:17" s="830" customFormat="1" outlineLevel="1" x14ac:dyDescent="0.35">
      <c r="A42" s="831" t="s">
        <v>79</v>
      </c>
      <c r="B42" s="839"/>
      <c r="C42" s="840"/>
      <c r="D42" s="841">
        <f>'Inv-amort'!E36</f>
        <v>0</v>
      </c>
      <c r="E42" s="841">
        <f>'Inv-amort'!F36</f>
        <v>158409.99999999997</v>
      </c>
      <c r="F42" s="841">
        <f>'Inv-amort'!G36</f>
        <v>414171.53016916657</v>
      </c>
      <c r="G42" s="841">
        <f>'Inv-amort'!H36</f>
        <v>460469.42033093172</v>
      </c>
      <c r="H42" s="841">
        <f>'Inv-amort'!I36</f>
        <v>526447.64949528489</v>
      </c>
      <c r="I42" s="841">
        <f>'Inv-amort'!J36</f>
        <v>676220.74819495284</v>
      </c>
      <c r="J42" s="841">
        <f>'Inv-amort'!K36</f>
        <v>823635.52371940389</v>
      </c>
      <c r="K42" s="841">
        <f>'Inv-amort'!L36</f>
        <v>968644.80960513395</v>
      </c>
      <c r="L42" s="841">
        <f>'Inv-amort'!M36</f>
        <v>1111200.4960593684</v>
      </c>
      <c r="M42" s="841">
        <f>'Inv-amort'!N36</f>
        <v>1251253.5110934773</v>
      </c>
      <c r="N42" s="841">
        <f>'Inv-amort'!O36</f>
        <v>1388753.8012790582</v>
      </c>
      <c r="O42" s="841">
        <f>'Inv-amort'!P36</f>
        <v>1523650.3121191408</v>
      </c>
      <c r="P42" s="841">
        <f>'Inv-amort'!Q36</f>
        <v>1655890.9680268147</v>
      </c>
    </row>
    <row r="43" spans="1:17" s="830" customFormat="1" outlineLevel="1" x14ac:dyDescent="0.35">
      <c r="A43" s="827" t="s">
        <v>80</v>
      </c>
      <c r="B43" s="836"/>
      <c r="C43" s="837"/>
      <c r="D43" s="838">
        <f>-'Inv-amort'!E42</f>
        <v>0</v>
      </c>
      <c r="E43" s="838">
        <f>-'Inv-amort'!F42</f>
        <v>-15295.916666666666</v>
      </c>
      <c r="F43" s="838">
        <f>-'Inv-amort'!G42</f>
        <v>-37479.791758333333</v>
      </c>
      <c r="G43" s="838">
        <f>-'Inv-amort'!H42</f>
        <v>-76411.193859255</v>
      </c>
      <c r="H43" s="838">
        <f>-'Inv-amort'!I42</f>
        <v>-93703.360957276818</v>
      </c>
      <c r="I43" s="838">
        <f>-'Inv-amort'!J42</f>
        <v>-110763.79048978756</v>
      </c>
      <c r="J43" s="838">
        <f>-'Inv-amort'!K42</f>
        <v>-128165.42861294851</v>
      </c>
      <c r="K43" s="838">
        <f>-'Inv-amort'!L42</f>
        <v>-145915.0994985727</v>
      </c>
      <c r="L43" s="838">
        <f>-'Inv-amort'!M42</f>
        <v>-164019.76380190937</v>
      </c>
      <c r="M43" s="838">
        <f>-'Inv-amort'!N42</f>
        <v>-182486.52139131277</v>
      </c>
      <c r="N43" s="838">
        <f>-'Inv-amort'!O42</f>
        <v>-201322.61413250424</v>
      </c>
      <c r="O43" s="838">
        <f>-'Inv-amort'!P42</f>
        <v>-220535.42872851953</v>
      </c>
      <c r="P43" s="838">
        <f>-'Inv-amort'!Q42</f>
        <v>-240132.49961645514</v>
      </c>
    </row>
    <row r="44" spans="1:17" s="830" customFormat="1" outlineLevel="1" x14ac:dyDescent="0.35">
      <c r="A44" s="831" t="s">
        <v>81</v>
      </c>
      <c r="B44" s="831"/>
      <c r="C44" s="840"/>
      <c r="D44" s="841">
        <f>'Inv-amort'!E43</f>
        <v>0</v>
      </c>
      <c r="E44" s="841">
        <f>'Inv-amort'!F43</f>
        <v>234066.58333333334</v>
      </c>
      <c r="F44" s="841">
        <f>'Inv-amort'!G43</f>
        <v>569330.11032500002</v>
      </c>
      <c r="G44" s="841">
        <f>'Inv-amort'!H43</f>
        <v>1097665.1047684951</v>
      </c>
      <c r="H44" s="841">
        <f>'Inv-amort'!I43</f>
        <v>1564942.3663961294</v>
      </c>
      <c r="I44" s="841">
        <f>'Inv-amort'!J43</f>
        <v>2150610.0197980287</v>
      </c>
      <c r="J44" s="841">
        <f>'Inv-amort'!K43</f>
        <v>2732804.6639546012</v>
      </c>
      <c r="K44" s="841">
        <f>'Inv-amort'!L43</f>
        <v>3311456.8386809397</v>
      </c>
      <c r="L44" s="841">
        <f>'Inv-amort'!M43</f>
        <v>3886495.6945884395</v>
      </c>
      <c r="M44" s="841">
        <f>'Inv-amort'!N43</f>
        <v>4457848.9653007248</v>
      </c>
      <c r="N44" s="841">
        <f>'Inv-amort'!O43</f>
        <v>5025442.9391138908</v>
      </c>
      <c r="O44" s="841">
        <f>'Inv-amort'!P43</f>
        <v>5589202.4300899534</v>
      </c>
      <c r="P44" s="841">
        <f>'Inv-amort'!Q43</f>
        <v>6149050.7485721735</v>
      </c>
    </row>
    <row r="45" spans="1:17" x14ac:dyDescent="0.35">
      <c r="A45" s="842" t="s">
        <v>168</v>
      </c>
      <c r="B45" s="842"/>
      <c r="C45" s="794"/>
      <c r="D45" s="796"/>
      <c r="E45" s="794"/>
      <c r="F45" s="794"/>
      <c r="G45" s="794"/>
      <c r="H45" s="794"/>
      <c r="I45" s="794"/>
      <c r="J45" s="794"/>
      <c r="K45" s="794"/>
      <c r="L45" s="794"/>
      <c r="M45" s="794"/>
      <c r="N45" s="794"/>
      <c r="O45" s="794"/>
      <c r="P45" s="794"/>
    </row>
    <row r="46" spans="1:17" x14ac:dyDescent="0.35">
      <c r="A46" s="792" t="s">
        <v>177</v>
      </c>
      <c r="C46" s="828">
        <f>ABS(C36+C41)</f>
        <v>88449.419999999765</v>
      </c>
      <c r="D46" s="843">
        <f>ABS(D36+D41)</f>
        <v>160356</v>
      </c>
      <c r="E46" s="802">
        <f t="shared" ref="E46:P46" si="19">ABS(E36+E41)</f>
        <v>171671</v>
      </c>
      <c r="F46" s="802">
        <f t="shared" si="19"/>
        <v>178244.05095583334</v>
      </c>
      <c r="G46" s="802">
        <f t="shared" si="19"/>
        <v>179921.05278955982</v>
      </c>
      <c r="H46" s="802">
        <f t="shared" si="19"/>
        <v>186031.28721483934</v>
      </c>
      <c r="I46" s="802">
        <f t="shared" si="19"/>
        <v>191898.57810834626</v>
      </c>
      <c r="J46" s="802">
        <f t="shared" si="19"/>
        <v>197883.21481972336</v>
      </c>
      <c r="K46" s="802">
        <f t="shared" si="19"/>
        <v>203987.54426532798</v>
      </c>
      <c r="L46" s="802">
        <f t="shared" si="19"/>
        <v>210213.96029984468</v>
      </c>
      <c r="M46" s="802">
        <f t="shared" si="19"/>
        <v>216564.90465505174</v>
      </c>
      <c r="N46" s="802">
        <f t="shared" si="19"/>
        <v>223042.86789736294</v>
      </c>
      <c r="O46" s="802">
        <f t="shared" si="19"/>
        <v>229650.39040452035</v>
      </c>
      <c r="P46" s="802">
        <f t="shared" si="19"/>
        <v>236390.06336182094</v>
      </c>
    </row>
    <row r="47" spans="1:17" x14ac:dyDescent="0.35">
      <c r="A47" s="814" t="s">
        <v>178</v>
      </c>
      <c r="B47" s="815"/>
      <c r="C47" s="832">
        <f>ABS(C38+C43)</f>
        <v>96546.999999999505</v>
      </c>
      <c r="D47" s="833">
        <f>ABS(D38+D43)</f>
        <v>199656</v>
      </c>
      <c r="E47" s="807">
        <f t="shared" ref="E47:P47" si="20">ABS(E38+E43)</f>
        <v>214951.91666666666</v>
      </c>
      <c r="F47" s="807">
        <f t="shared" si="20"/>
        <v>237135.79175833333</v>
      </c>
      <c r="G47" s="807">
        <f t="shared" si="20"/>
        <v>276067.193859255</v>
      </c>
      <c r="H47" s="807">
        <f t="shared" si="20"/>
        <v>293359.36095727683</v>
      </c>
      <c r="I47" s="807">
        <f t="shared" si="20"/>
        <v>310419.79048978759</v>
      </c>
      <c r="J47" s="807">
        <f t="shared" si="20"/>
        <v>327821.42861294851</v>
      </c>
      <c r="K47" s="807">
        <f t="shared" si="20"/>
        <v>345571.0994985727</v>
      </c>
      <c r="L47" s="807">
        <f t="shared" si="20"/>
        <v>363675.7638019094</v>
      </c>
      <c r="M47" s="807">
        <f t="shared" si="20"/>
        <v>382142.52139131277</v>
      </c>
      <c r="N47" s="807">
        <f t="shared" si="20"/>
        <v>400978.61413250421</v>
      </c>
      <c r="O47" s="807">
        <f t="shared" si="20"/>
        <v>420191.42872851953</v>
      </c>
      <c r="P47" s="807">
        <f t="shared" si="20"/>
        <v>439788.49961645517</v>
      </c>
    </row>
    <row r="48" spans="1:17" ht="12.5" thickBot="1" x14ac:dyDescent="0.4">
      <c r="A48" s="818" t="s">
        <v>167</v>
      </c>
      <c r="B48" s="819"/>
      <c r="C48" s="819"/>
      <c r="D48" s="820">
        <f t="shared" ref="D48:P48" si="21">D46+D47</f>
        <v>360012</v>
      </c>
      <c r="E48" s="820">
        <f t="shared" si="21"/>
        <v>386622.91666666663</v>
      </c>
      <c r="F48" s="820">
        <f t="shared" si="21"/>
        <v>415379.84271416668</v>
      </c>
      <c r="G48" s="820">
        <f t="shared" si="21"/>
        <v>455988.24664881482</v>
      </c>
      <c r="H48" s="820">
        <f t="shared" si="21"/>
        <v>479390.64817211614</v>
      </c>
      <c r="I48" s="820">
        <f t="shared" si="21"/>
        <v>502318.36859813385</v>
      </c>
      <c r="J48" s="820">
        <f t="shared" si="21"/>
        <v>525704.6434326719</v>
      </c>
      <c r="K48" s="820">
        <f t="shared" si="21"/>
        <v>549558.64376390073</v>
      </c>
      <c r="L48" s="820">
        <f t="shared" si="21"/>
        <v>573889.72410175414</v>
      </c>
      <c r="M48" s="820">
        <f t="shared" si="21"/>
        <v>598707.42604636448</v>
      </c>
      <c r="N48" s="820">
        <f t="shared" si="21"/>
        <v>624021.48202986713</v>
      </c>
      <c r="O48" s="820">
        <f t="shared" si="21"/>
        <v>649841.81913303991</v>
      </c>
      <c r="P48" s="820">
        <f t="shared" si="21"/>
        <v>676178.56297827605</v>
      </c>
    </row>
    <row r="49" spans="1:18" x14ac:dyDescent="0.35">
      <c r="A49" s="844" t="s">
        <v>166</v>
      </c>
      <c r="B49" s="793"/>
      <c r="C49" s="793"/>
      <c r="D49" s="795"/>
      <c r="E49" s="796"/>
      <c r="F49" s="794"/>
      <c r="G49" s="797"/>
      <c r="H49" s="796"/>
      <c r="I49" s="796"/>
      <c r="J49" s="796"/>
      <c r="K49" s="796"/>
      <c r="L49" s="796"/>
      <c r="M49" s="796"/>
      <c r="N49" s="794"/>
      <c r="O49" s="794"/>
      <c r="P49" s="794"/>
    </row>
    <row r="50" spans="1:18" s="847" customFormat="1" hidden="1" outlineLevel="1" x14ac:dyDescent="0.35">
      <c r="A50" s="845" t="s">
        <v>74</v>
      </c>
      <c r="B50" s="845"/>
      <c r="C50" s="845"/>
      <c r="D50" s="846">
        <v>70600</v>
      </c>
      <c r="E50" s="846">
        <f>5%*AVERAGE(B96:D96)</f>
        <v>81851.005005427054</v>
      </c>
      <c r="F50" s="846">
        <f t="shared" ref="F50:P50" si="22">5%*AVERAGE(C96:E96)</f>
        <v>101435.33235226512</v>
      </c>
      <c r="G50" s="846">
        <f t="shared" si="22"/>
        <v>128724.55206462597</v>
      </c>
      <c r="H50" s="846">
        <f t="shared" si="22"/>
        <v>153850.82100347377</v>
      </c>
      <c r="I50" s="846">
        <f t="shared" si="22"/>
        <v>169614.57789768244</v>
      </c>
      <c r="J50" s="846">
        <f t="shared" si="22"/>
        <v>176529.91212393771</v>
      </c>
      <c r="K50" s="846">
        <f t="shared" si="22"/>
        <v>181467.97045603793</v>
      </c>
      <c r="L50" s="846">
        <f t="shared" si="22"/>
        <v>185957.11608434786</v>
      </c>
      <c r="M50" s="846">
        <f t="shared" si="22"/>
        <v>191039.53491254643</v>
      </c>
      <c r="N50" s="846">
        <f t="shared" si="22"/>
        <v>196341.97837042779</v>
      </c>
      <c r="O50" s="846">
        <f t="shared" si="22"/>
        <v>201980.36363960442</v>
      </c>
      <c r="P50" s="846">
        <f t="shared" si="22"/>
        <v>207969.46568017904</v>
      </c>
      <c r="Q50" s="813"/>
    </row>
    <row r="51" spans="1:18" hidden="1" outlineLevel="1" x14ac:dyDescent="0.35">
      <c r="A51" s="792" t="s">
        <v>82</v>
      </c>
      <c r="B51" s="848"/>
      <c r="C51" s="828">
        <f t="shared" ref="C51" si="23">C37+C42</f>
        <v>4498715.6099999985</v>
      </c>
      <c r="D51" s="849">
        <f t="shared" ref="D51:P51" si="24">D37+D42</f>
        <v>4568400</v>
      </c>
      <c r="E51" s="850">
        <f t="shared" si="24"/>
        <v>4566454</v>
      </c>
      <c r="F51" s="850">
        <f t="shared" si="24"/>
        <v>4661859.5301691666</v>
      </c>
      <c r="G51" s="850">
        <f t="shared" si="24"/>
        <v>4547801.4203309314</v>
      </c>
      <c r="H51" s="850">
        <f t="shared" si="24"/>
        <v>4453423.649495285</v>
      </c>
      <c r="I51" s="850">
        <f t="shared" si="24"/>
        <v>4442840.7481949525</v>
      </c>
      <c r="J51" s="850">
        <f t="shared" si="24"/>
        <v>4429899.5237194039</v>
      </c>
      <c r="K51" s="850">
        <f t="shared" si="24"/>
        <v>4414552.8096051337</v>
      </c>
      <c r="L51" s="850">
        <f t="shared" si="24"/>
        <v>4396752.4960593684</v>
      </c>
      <c r="M51" s="850">
        <f t="shared" si="24"/>
        <v>4376449.5110934768</v>
      </c>
      <c r="N51" s="850">
        <f t="shared" si="24"/>
        <v>4353593.8012790587</v>
      </c>
      <c r="O51" s="850">
        <f t="shared" si="24"/>
        <v>4328134.3121191412</v>
      </c>
      <c r="P51" s="850">
        <f t="shared" si="24"/>
        <v>4300018.968026815</v>
      </c>
    </row>
    <row r="52" spans="1:18" hidden="1" outlineLevel="1" x14ac:dyDescent="0.35">
      <c r="A52" s="814" t="s">
        <v>83</v>
      </c>
      <c r="B52" s="851"/>
      <c r="C52" s="832">
        <f t="shared" ref="C52" si="25">C39+C44</f>
        <v>5696728.7200000016</v>
      </c>
      <c r="D52" s="852">
        <f t="shared" ref="D52:P52" si="26">D39+D44</f>
        <v>5500300</v>
      </c>
      <c r="E52" s="853">
        <f t="shared" si="26"/>
        <v>5534710.583333333</v>
      </c>
      <c r="F52" s="853">
        <f t="shared" si="26"/>
        <v>5670318.1103250002</v>
      </c>
      <c r="G52" s="853">
        <f t="shared" si="26"/>
        <v>5998997.1047684951</v>
      </c>
      <c r="H52" s="853">
        <f t="shared" si="26"/>
        <v>6266618.3663961291</v>
      </c>
      <c r="I52" s="853">
        <f t="shared" si="26"/>
        <v>6652630.0197980292</v>
      </c>
      <c r="J52" s="853">
        <f t="shared" si="26"/>
        <v>7035168.6639546007</v>
      </c>
      <c r="K52" s="853">
        <f t="shared" si="26"/>
        <v>7414164.8386809397</v>
      </c>
      <c r="L52" s="853">
        <f t="shared" si="26"/>
        <v>7789547.6945884395</v>
      </c>
      <c r="M52" s="853">
        <f t="shared" si="26"/>
        <v>8161244.9653007248</v>
      </c>
      <c r="N52" s="853">
        <f t="shared" si="26"/>
        <v>8529182.9391138908</v>
      </c>
      <c r="O52" s="853">
        <f t="shared" si="26"/>
        <v>8893286.4300899543</v>
      </c>
      <c r="P52" s="853">
        <f t="shared" si="26"/>
        <v>9253478.7485721745</v>
      </c>
    </row>
    <row r="53" spans="1:18" ht="12.5" hidden="1" outlineLevel="1" thickBot="1" x14ac:dyDescent="0.4">
      <c r="A53" s="818" t="s">
        <v>73</v>
      </c>
      <c r="B53" s="819"/>
      <c r="C53" s="819"/>
      <c r="D53" s="820">
        <f t="shared" ref="D53:P53" si="27">D51+D52</f>
        <v>10068700</v>
      </c>
      <c r="E53" s="820">
        <f t="shared" si="27"/>
        <v>10101164.583333332</v>
      </c>
      <c r="F53" s="820">
        <f t="shared" si="27"/>
        <v>10332177.640494168</v>
      </c>
      <c r="G53" s="820">
        <f t="shared" si="27"/>
        <v>10546798.525099427</v>
      </c>
      <c r="H53" s="820">
        <f t="shared" si="27"/>
        <v>10720042.015891414</v>
      </c>
      <c r="I53" s="820">
        <f t="shared" si="27"/>
        <v>11095470.767992981</v>
      </c>
      <c r="J53" s="820">
        <f t="shared" si="27"/>
        <v>11465068.187674005</v>
      </c>
      <c r="K53" s="820">
        <f t="shared" si="27"/>
        <v>11828717.648286074</v>
      </c>
      <c r="L53" s="820">
        <f t="shared" si="27"/>
        <v>12186300.190647807</v>
      </c>
      <c r="M53" s="820">
        <f t="shared" si="27"/>
        <v>12537694.476394203</v>
      </c>
      <c r="N53" s="820">
        <f t="shared" si="27"/>
        <v>12882776.740392949</v>
      </c>
      <c r="O53" s="820">
        <f t="shared" si="27"/>
        <v>13221420.742209096</v>
      </c>
      <c r="P53" s="820">
        <f t="shared" si="27"/>
        <v>13553497.716598989</v>
      </c>
    </row>
    <row r="54" spans="1:18" collapsed="1" x14ac:dyDescent="0.35">
      <c r="A54" s="854" t="s">
        <v>75</v>
      </c>
      <c r="B54" s="855"/>
      <c r="C54" s="855"/>
      <c r="D54" s="856">
        <f>(AVERAGE(C51:D51)+D$50*C94/C96)*$B$18</f>
        <v>286184.20898210647</v>
      </c>
      <c r="E54" s="856">
        <f t="shared" ref="E54:P54" si="28">(AVERAGE(D51:E51)+E$50*D94/D96)*$B$18</f>
        <v>288466.3228594602</v>
      </c>
      <c r="F54" s="856">
        <f t="shared" si="28"/>
        <v>291972.5939200297</v>
      </c>
      <c r="G54" s="856">
        <f t="shared" si="28"/>
        <v>291601.65665457689</v>
      </c>
      <c r="H54" s="856">
        <f t="shared" si="28"/>
        <v>285521.71567950468</v>
      </c>
      <c r="I54" s="856">
        <f t="shared" si="28"/>
        <v>282501.36443856795</v>
      </c>
      <c r="J54" s="856">
        <f t="shared" si="28"/>
        <v>281854.09056317806</v>
      </c>
      <c r="K54" s="856">
        <f t="shared" si="28"/>
        <v>280993.64263322501</v>
      </c>
      <c r="L54" s="856">
        <f t="shared" si="28"/>
        <v>279968.13871995645</v>
      </c>
      <c r="M54" s="856">
        <f t="shared" si="28"/>
        <v>278796.34055063489</v>
      </c>
      <c r="N54" s="856">
        <f t="shared" si="28"/>
        <v>277479.39956175798</v>
      </c>
      <c r="O54" s="856">
        <f t="shared" si="28"/>
        <v>276027.67477434466</v>
      </c>
      <c r="P54" s="856">
        <f t="shared" si="28"/>
        <v>274416.57387664419</v>
      </c>
    </row>
    <row r="55" spans="1:18" x14ac:dyDescent="0.35">
      <c r="A55" s="814" t="s">
        <v>76</v>
      </c>
      <c r="B55" s="815"/>
      <c r="C55" s="815"/>
      <c r="D55" s="857">
        <f>(AVERAGE(C52:D52)+D$50*C95/C96)*$B$18</f>
        <v>354543.60297989356</v>
      </c>
      <c r="E55" s="857">
        <f t="shared" ref="E55:P55" si="29">(AVERAGE(D52:E52)+E$50*D95/D96)*$B$18</f>
        <v>350007.66817154718</v>
      </c>
      <c r="F55" s="857">
        <f t="shared" si="29"/>
        <v>356004.49077987607</v>
      </c>
      <c r="G55" s="857">
        <f t="shared" si="29"/>
        <v>372082.09681472037</v>
      </c>
      <c r="H55" s="857">
        <f t="shared" si="29"/>
        <v>391918.9088666258</v>
      </c>
      <c r="I55" s="857">
        <f t="shared" si="29"/>
        <v>413157.53246737638</v>
      </c>
      <c r="J55" s="857">
        <f t="shared" si="29"/>
        <v>437632.91112614848</v>
      </c>
      <c r="K55" s="857">
        <f t="shared" si="29"/>
        <v>461827.42116056051</v>
      </c>
      <c r="L55" s="857">
        <f t="shared" si="29"/>
        <v>485781.52831266442</v>
      </c>
      <c r="M55" s="857">
        <f t="shared" si="29"/>
        <v>509534.37478699203</v>
      </c>
      <c r="N55" s="857">
        <f t="shared" si="29"/>
        <v>533053.67288702133</v>
      </c>
      <c r="O55" s="857">
        <f t="shared" si="29"/>
        <v>556328.49301592668</v>
      </c>
      <c r="P55" s="857">
        <f t="shared" si="29"/>
        <v>579376.34817464475</v>
      </c>
    </row>
    <row r="56" spans="1:18" ht="12.5" thickBot="1" x14ac:dyDescent="0.4">
      <c r="A56" s="818" t="s">
        <v>166</v>
      </c>
      <c r="B56" s="819"/>
      <c r="C56" s="819"/>
      <c r="D56" s="820">
        <f>D54+D55</f>
        <v>640727.81196200009</v>
      </c>
      <c r="E56" s="820">
        <f t="shared" ref="E56:P56" si="30">E54+E55</f>
        <v>638473.99103100738</v>
      </c>
      <c r="F56" s="820">
        <f t="shared" si="30"/>
        <v>647977.08469990571</v>
      </c>
      <c r="G56" s="820">
        <f t="shared" si="30"/>
        <v>663683.7534692972</v>
      </c>
      <c r="H56" s="820">
        <f t="shared" si="30"/>
        <v>677440.62454613042</v>
      </c>
      <c r="I56" s="820">
        <f t="shared" si="30"/>
        <v>695658.89690594433</v>
      </c>
      <c r="J56" s="820">
        <f t="shared" si="30"/>
        <v>719487.00168932648</v>
      </c>
      <c r="K56" s="820">
        <f t="shared" si="30"/>
        <v>742821.06379378552</v>
      </c>
      <c r="L56" s="820">
        <f t="shared" si="30"/>
        <v>765749.66703262087</v>
      </c>
      <c r="M56" s="820">
        <f t="shared" si="30"/>
        <v>788330.71533762687</v>
      </c>
      <c r="N56" s="820">
        <f t="shared" si="30"/>
        <v>810533.07244877936</v>
      </c>
      <c r="O56" s="820">
        <f t="shared" si="30"/>
        <v>832356.16779027134</v>
      </c>
      <c r="P56" s="820">
        <f t="shared" si="30"/>
        <v>853792.92205128889</v>
      </c>
    </row>
    <row r="57" spans="1:18" s="861" customFormat="1" ht="12.5" thickBot="1" x14ac:dyDescent="0.4">
      <c r="A57" s="858" t="s">
        <v>77</v>
      </c>
      <c r="B57" s="858"/>
      <c r="C57" s="859"/>
      <c r="D57" s="860">
        <f t="shared" ref="D57:P57" si="31">D34+D48+D56</f>
        <v>2486856.4352977267</v>
      </c>
      <c r="E57" s="860">
        <f t="shared" si="31"/>
        <v>3026329.2361488943</v>
      </c>
      <c r="F57" s="860">
        <f t="shared" si="31"/>
        <v>3214080.7270993954</v>
      </c>
      <c r="G57" s="860">
        <f t="shared" si="31"/>
        <v>3415630.8245362467</v>
      </c>
      <c r="H57" s="860">
        <f t="shared" si="31"/>
        <v>3553471.03468314</v>
      </c>
      <c r="I57" s="860">
        <f t="shared" si="31"/>
        <v>3661939.4108568435</v>
      </c>
      <c r="J57" s="860">
        <f t="shared" si="31"/>
        <v>3778286.7078333222</v>
      </c>
      <c r="K57" s="860">
        <f t="shared" si="31"/>
        <v>3896534.8996785809</v>
      </c>
      <c r="L57" s="860">
        <f t="shared" si="31"/>
        <v>4016848.1272943625</v>
      </c>
      <c r="M57" s="860">
        <f t="shared" si="31"/>
        <v>4139373.8960965062</v>
      </c>
      <c r="N57" s="860">
        <f t="shared" si="31"/>
        <v>4264163.1403196547</v>
      </c>
      <c r="O57" s="860">
        <f t="shared" si="31"/>
        <v>4391344.0735599399</v>
      </c>
      <c r="P57" s="860">
        <f t="shared" si="31"/>
        <v>4521019.8434776505</v>
      </c>
    </row>
    <row r="58" spans="1:18" ht="12.5" thickTop="1" x14ac:dyDescent="0.35">
      <c r="D58" s="862"/>
      <c r="E58" s="862"/>
      <c r="F58" s="862"/>
      <c r="G58" s="862"/>
      <c r="H58" s="862"/>
      <c r="I58" s="862"/>
      <c r="J58" s="862"/>
      <c r="K58" s="862"/>
      <c r="L58" s="862"/>
      <c r="M58" s="862"/>
      <c r="N58" s="862"/>
      <c r="O58" s="862"/>
      <c r="P58" s="862"/>
    </row>
    <row r="59" spans="1:18" ht="18.5" x14ac:dyDescent="0.35">
      <c r="A59" s="753" t="s">
        <v>149</v>
      </c>
      <c r="B59" s="792"/>
    </row>
    <row r="60" spans="1:18" x14ac:dyDescent="0.35">
      <c r="A60" s="863"/>
      <c r="B60" s="864" t="s">
        <v>1</v>
      </c>
      <c r="C60" s="865" t="s">
        <v>872</v>
      </c>
      <c r="D60" s="866">
        <f>D$2</f>
        <v>2023</v>
      </c>
      <c r="E60" s="867">
        <f t="shared" ref="E60:P60" si="32">E$2</f>
        <v>2024</v>
      </c>
      <c r="F60" s="867">
        <f t="shared" si="32"/>
        <v>2025</v>
      </c>
      <c r="G60" s="867">
        <f t="shared" si="32"/>
        <v>2026</v>
      </c>
      <c r="H60" s="867">
        <f t="shared" si="32"/>
        <v>2027</v>
      </c>
      <c r="I60" s="867">
        <f t="shared" si="32"/>
        <v>2028</v>
      </c>
      <c r="J60" s="867">
        <f t="shared" si="32"/>
        <v>2029</v>
      </c>
      <c r="K60" s="867">
        <f t="shared" si="32"/>
        <v>2030</v>
      </c>
      <c r="L60" s="867">
        <f t="shared" si="32"/>
        <v>2031</v>
      </c>
      <c r="M60" s="867">
        <f t="shared" si="32"/>
        <v>2032</v>
      </c>
      <c r="N60" s="867">
        <f t="shared" si="32"/>
        <v>2033</v>
      </c>
      <c r="O60" s="867">
        <f t="shared" si="32"/>
        <v>2034</v>
      </c>
      <c r="P60" s="867">
        <f t="shared" si="32"/>
        <v>2035</v>
      </c>
    </row>
    <row r="61" spans="1:18" x14ac:dyDescent="0.35">
      <c r="A61" s="868" t="s">
        <v>59</v>
      </c>
      <c r="B61" s="869" t="s">
        <v>137</v>
      </c>
      <c r="C61" s="870">
        <f>Elanikud!D19</f>
        <v>7743.3912149369762</v>
      </c>
      <c r="D61" s="870">
        <f>Elanikud!E19</f>
        <v>8508</v>
      </c>
      <c r="E61" s="871">
        <f>Elanikud!F20</f>
        <v>9359.2604034224314</v>
      </c>
      <c r="F61" s="871">
        <f>Elanikud!G20</f>
        <v>10046.549684056128</v>
      </c>
      <c r="G61" s="871">
        <f>Elanikud!H20</f>
        <v>10735.858477347112</v>
      </c>
      <c r="H61" s="871">
        <f>Elanikud!I20</f>
        <v>11364.403673282615</v>
      </c>
      <c r="I61" s="871">
        <f>Elanikud!J20</f>
        <v>11439.909263350823</v>
      </c>
      <c r="J61" s="871">
        <f>Elanikud!K20</f>
        <v>11513.843680109492</v>
      </c>
      <c r="K61" s="871">
        <f>Elanikud!L20</f>
        <v>11587.010364455558</v>
      </c>
      <c r="L61" s="871">
        <f>Elanikud!M20</f>
        <v>11659.552150326235</v>
      </c>
      <c r="M61" s="871">
        <f>Elanikud!N20</f>
        <v>11731.736851353844</v>
      </c>
      <c r="N61" s="871">
        <f>Elanikud!O20</f>
        <v>11803.707301475604</v>
      </c>
      <c r="O61" s="871">
        <f>Elanikud!P20</f>
        <v>11876.070544924751</v>
      </c>
      <c r="P61" s="871">
        <f>Elanikud!Q20</f>
        <v>11949.165812302193</v>
      </c>
      <c r="Q61" s="813" t="s">
        <v>871</v>
      </c>
    </row>
    <row r="62" spans="1:18" s="799" customFormat="1" x14ac:dyDescent="0.35">
      <c r="A62" s="868" t="s">
        <v>60</v>
      </c>
      <c r="B62" s="872" t="s">
        <v>137</v>
      </c>
      <c r="C62" s="870">
        <f>Elanikud!D40</f>
        <v>7168.4245391830145</v>
      </c>
      <c r="D62" s="870">
        <f>Elanikud!E40</f>
        <v>8110</v>
      </c>
      <c r="E62" s="871">
        <f>Elanikud!F41</f>
        <v>8743.9126426820676</v>
      </c>
      <c r="F62" s="871">
        <f>Elanikud!G41</f>
        <v>9444.0923511455858</v>
      </c>
      <c r="G62" s="871">
        <f>Elanikud!H41</f>
        <v>10201.734663163157</v>
      </c>
      <c r="H62" s="871">
        <f>Elanikud!I41</f>
        <v>10899.602532460027</v>
      </c>
      <c r="I62" s="871">
        <f>Elanikud!J41</f>
        <v>10972.019963623361</v>
      </c>
      <c r="J62" s="871">
        <f>Elanikud!K41</f>
        <v>11042.930482054988</v>
      </c>
      <c r="K62" s="871">
        <f>Elanikud!L41</f>
        <v>11113.104668129083</v>
      </c>
      <c r="L62" s="871">
        <f>Elanikud!M41</f>
        <v>11182.679513912157</v>
      </c>
      <c r="M62" s="871">
        <f>Elanikud!N41</f>
        <v>11251.911879528934</v>
      </c>
      <c r="N62" s="871">
        <f>Elanikud!O41</f>
        <v>11320.938757045937</v>
      </c>
      <c r="O62" s="871">
        <f>Elanikud!P41</f>
        <v>11390.342362745863</v>
      </c>
      <c r="P62" s="871">
        <f>Elanikud!Q41</f>
        <v>11460.448052786696</v>
      </c>
      <c r="R62" s="750"/>
    </row>
    <row r="63" spans="1:18" s="792" customFormat="1" x14ac:dyDescent="0.35">
      <c r="A63" s="868" t="s">
        <v>146</v>
      </c>
      <c r="B63" s="872" t="s">
        <v>148</v>
      </c>
      <c r="C63" s="873">
        <f>Q!G4</f>
        <v>364169.56003000028</v>
      </c>
      <c r="D63" s="873">
        <f>Q!I4</f>
        <v>386960.03694080288</v>
      </c>
      <c r="E63" s="874">
        <f>Q!J4</f>
        <v>400764.01432935981</v>
      </c>
      <c r="F63" s="874">
        <f>Q!K4</f>
        <v>420328.7163362737</v>
      </c>
      <c r="G63" s="874">
        <f>Q!L4</f>
        <v>447615.49357893236</v>
      </c>
      <c r="H63" s="874">
        <f>Q!M4</f>
        <v>461667.16205393121</v>
      </c>
      <c r="I63" s="874">
        <f>Q!N4</f>
        <v>465249.41252417851</v>
      </c>
      <c r="J63" s="874">
        <f>Q!O4</f>
        <v>468793.13567500364</v>
      </c>
      <c r="K63" s="874">
        <f>Q!P4</f>
        <v>472324.87455235294</v>
      </c>
      <c r="L63" s="874">
        <f>Q!Q4</f>
        <v>475849.22451062454</v>
      </c>
      <c r="M63" s="874">
        <f>Q!R4</f>
        <v>479375.05489230354</v>
      </c>
      <c r="N63" s="874">
        <f>Q!S4</f>
        <v>482907.10267815151</v>
      </c>
      <c r="O63" s="874">
        <f>Q!T4</f>
        <v>486465.92158311169</v>
      </c>
      <c r="P63" s="874">
        <f>Q!U4</f>
        <v>490063.17265294702</v>
      </c>
      <c r="R63" s="750"/>
    </row>
    <row r="64" spans="1:18" s="792" customFormat="1" x14ac:dyDescent="0.35">
      <c r="A64" s="868" t="s">
        <v>915</v>
      </c>
      <c r="B64" s="872" t="s">
        <v>148</v>
      </c>
      <c r="C64" s="873">
        <f>Q!G10-C65</f>
        <v>366419.74001000007</v>
      </c>
      <c r="D64" s="873">
        <f>Q!I10-D65</f>
        <v>448304.59264251729</v>
      </c>
      <c r="E64" s="874">
        <f>Q!J10-E65</f>
        <v>481145.54042665823</v>
      </c>
      <c r="F64" s="874">
        <f>Q!K10-F65</f>
        <v>522084.11703676742</v>
      </c>
      <c r="G64" s="874">
        <f>Q!L10-G65</f>
        <v>563831.68327199051</v>
      </c>
      <c r="H64" s="874">
        <f>Q!M10-H65</f>
        <v>583213.32052296342</v>
      </c>
      <c r="I64" s="874">
        <f>Q!N10-I65</f>
        <v>586071.45827835135</v>
      </c>
      <c r="J64" s="874">
        <f>Q!O10-J65</f>
        <v>588884.67793262494</v>
      </c>
      <c r="K64" s="874">
        <f>Q!P10-K65</f>
        <v>591678.71412691846</v>
      </c>
      <c r="L64" s="874">
        <f>Q!Q10-L65</f>
        <v>594458.09203023557</v>
      </c>
      <c r="M64" s="874">
        <f>Q!R10-M65</f>
        <v>597231.39861080644</v>
      </c>
      <c r="N64" s="874">
        <f>Q!S10-N65</f>
        <v>600003.21627871844</v>
      </c>
      <c r="O64" s="874">
        <f>Q!T10-O65</f>
        <v>602793.19065324799</v>
      </c>
      <c r="P64" s="874">
        <f>Q!U10-P65</f>
        <v>605612.37095749774</v>
      </c>
      <c r="Q64" s="875"/>
      <c r="R64" s="750"/>
    </row>
    <row r="65" spans="1:17" s="879" customFormat="1" x14ac:dyDescent="0.35">
      <c r="A65" s="876" t="s">
        <v>903</v>
      </c>
      <c r="B65" s="877" t="s">
        <v>148</v>
      </c>
      <c r="C65" s="878">
        <v>181029</v>
      </c>
      <c r="D65" s="878">
        <f>C65</f>
        <v>181029</v>
      </c>
      <c r="E65" s="878">
        <f t="shared" ref="E65:P65" si="33">D65</f>
        <v>181029</v>
      </c>
      <c r="F65" s="878">
        <f t="shared" si="33"/>
        <v>181029</v>
      </c>
      <c r="G65" s="878">
        <f t="shared" si="33"/>
        <v>181029</v>
      </c>
      <c r="H65" s="878">
        <f t="shared" si="33"/>
        <v>181029</v>
      </c>
      <c r="I65" s="878">
        <f t="shared" si="33"/>
        <v>181029</v>
      </c>
      <c r="J65" s="878">
        <f t="shared" si="33"/>
        <v>181029</v>
      </c>
      <c r="K65" s="878">
        <f t="shared" si="33"/>
        <v>181029</v>
      </c>
      <c r="L65" s="878">
        <f t="shared" si="33"/>
        <v>181029</v>
      </c>
      <c r="M65" s="878">
        <f t="shared" si="33"/>
        <v>181029</v>
      </c>
      <c r="N65" s="878">
        <f t="shared" si="33"/>
        <v>181029</v>
      </c>
      <c r="O65" s="878">
        <f t="shared" si="33"/>
        <v>181029</v>
      </c>
      <c r="P65" s="878">
        <f t="shared" si="33"/>
        <v>181029</v>
      </c>
      <c r="Q65" s="879" t="s">
        <v>904</v>
      </c>
    </row>
    <row r="66" spans="1:17" s="883" customFormat="1" hidden="1" outlineLevel="1" x14ac:dyDescent="0.35">
      <c r="A66" s="880" t="s">
        <v>911</v>
      </c>
      <c r="B66" s="881" t="s">
        <v>131</v>
      </c>
      <c r="C66" s="882">
        <f>1-C67</f>
        <v>0.6693224647905972</v>
      </c>
      <c r="D66" s="882">
        <f t="shared" ref="D66:P66" si="34">1-D67</f>
        <v>0.71234810581161745</v>
      </c>
      <c r="E66" s="882">
        <f t="shared" si="34"/>
        <v>0.72661437589648525</v>
      </c>
      <c r="F66" s="882">
        <f t="shared" si="34"/>
        <v>0.74253218207201566</v>
      </c>
      <c r="G66" s="882">
        <f t="shared" si="34"/>
        <v>0.75696260513471603</v>
      </c>
      <c r="H66" s="882">
        <f t="shared" si="34"/>
        <v>0.76312617721022868</v>
      </c>
      <c r="I66" s="882">
        <f t="shared" si="34"/>
        <v>0.76400874481773351</v>
      </c>
      <c r="J66" s="882">
        <f t="shared" si="34"/>
        <v>0.76487104309394827</v>
      </c>
      <c r="K66" s="882">
        <f t="shared" si="34"/>
        <v>0.76572124661063534</v>
      </c>
      <c r="L66" s="882">
        <f t="shared" si="34"/>
        <v>0.76656091138014482</v>
      </c>
      <c r="M66" s="882">
        <f t="shared" si="34"/>
        <v>0.76739276426869918</v>
      </c>
      <c r="N66" s="882">
        <f t="shared" si="34"/>
        <v>0.7682182677911481</v>
      </c>
      <c r="O66" s="882">
        <f t="shared" si="34"/>
        <v>0.76904328282779544</v>
      </c>
      <c r="P66" s="882">
        <f t="shared" si="34"/>
        <v>0.7698709899027405</v>
      </c>
    </row>
    <row r="67" spans="1:17" s="883" customFormat="1" hidden="1" outlineLevel="1" x14ac:dyDescent="0.35">
      <c r="A67" s="880" t="s">
        <v>910</v>
      </c>
      <c r="B67" s="881" t="s">
        <v>131</v>
      </c>
      <c r="C67" s="882">
        <f>C65/(C64+C65)</f>
        <v>0.3306775352094028</v>
      </c>
      <c r="D67" s="882">
        <f t="shared" ref="D67:P67" si="35">D65/(D64+D65)</f>
        <v>0.2876518941883825</v>
      </c>
      <c r="E67" s="882">
        <f t="shared" si="35"/>
        <v>0.27338562410351475</v>
      </c>
      <c r="F67" s="882">
        <f t="shared" si="35"/>
        <v>0.25746781792798434</v>
      </c>
      <c r="G67" s="882">
        <f t="shared" si="35"/>
        <v>0.243037394865284</v>
      </c>
      <c r="H67" s="882">
        <f t="shared" si="35"/>
        <v>0.23687382278977126</v>
      </c>
      <c r="I67" s="882">
        <f t="shared" si="35"/>
        <v>0.23599125518226652</v>
      </c>
      <c r="J67" s="882">
        <f t="shared" si="35"/>
        <v>0.23512895690605179</v>
      </c>
      <c r="K67" s="882">
        <f t="shared" si="35"/>
        <v>0.23427875338936463</v>
      </c>
      <c r="L67" s="882">
        <f t="shared" si="35"/>
        <v>0.23343908861985524</v>
      </c>
      <c r="M67" s="882">
        <f t="shared" si="35"/>
        <v>0.23260723573130082</v>
      </c>
      <c r="N67" s="882">
        <f t="shared" si="35"/>
        <v>0.23178173220885187</v>
      </c>
      <c r="O67" s="882">
        <f t="shared" si="35"/>
        <v>0.23095671717220456</v>
      </c>
      <c r="P67" s="882">
        <f t="shared" si="35"/>
        <v>0.23012901009725945</v>
      </c>
    </row>
    <row r="68" spans="1:17" s="883" customFormat="1" hidden="1" outlineLevel="1" x14ac:dyDescent="0.35">
      <c r="A68" s="880" t="s">
        <v>913</v>
      </c>
      <c r="B68" s="881" t="s">
        <v>131</v>
      </c>
      <c r="C68" s="884">
        <f>1-C69</f>
        <v>0.75</v>
      </c>
      <c r="D68" s="882">
        <f t="shared" ref="D68:P68" si="36">1-D69</f>
        <v>0.78252839733562052</v>
      </c>
      <c r="E68" s="882">
        <f t="shared" si="36"/>
        <v>0.79331403331466688</v>
      </c>
      <c r="F68" s="882">
        <f t="shared" si="36"/>
        <v>0.80534826945158078</v>
      </c>
      <c r="G68" s="882">
        <f t="shared" si="36"/>
        <v>0.81625800894564882</v>
      </c>
      <c r="H68" s="882">
        <f t="shared" si="36"/>
        <v>0.82091781451091772</v>
      </c>
      <c r="I68" s="882">
        <f t="shared" si="36"/>
        <v>0.82158505639578439</v>
      </c>
      <c r="J68" s="882">
        <f t="shared" si="36"/>
        <v>0.8222369741891028</v>
      </c>
      <c r="K68" s="882">
        <f t="shared" si="36"/>
        <v>0.82287974805953579</v>
      </c>
      <c r="L68" s="882">
        <f t="shared" si="36"/>
        <v>0.82351455438904475</v>
      </c>
      <c r="M68" s="882">
        <f t="shared" si="36"/>
        <v>0.82414345475267814</v>
      </c>
      <c r="N68" s="882">
        <f t="shared" si="36"/>
        <v>0.82476755484608655</v>
      </c>
      <c r="O68" s="882">
        <f t="shared" si="36"/>
        <v>0.82539128563273101</v>
      </c>
      <c r="P68" s="882">
        <f t="shared" si="36"/>
        <v>0.82601705166369299</v>
      </c>
      <c r="Q68" s="883" t="s">
        <v>918</v>
      </c>
    </row>
    <row r="69" spans="1:17" s="883" customFormat="1" hidden="1" outlineLevel="1" x14ac:dyDescent="0.35">
      <c r="A69" s="880" t="s">
        <v>914</v>
      </c>
      <c r="B69" s="881" t="s">
        <v>131</v>
      </c>
      <c r="C69" s="884">
        <v>0.25</v>
      </c>
      <c r="D69" s="882">
        <f>C69*D67/C67</f>
        <v>0.21747160266437954</v>
      </c>
      <c r="E69" s="882">
        <f t="shared" ref="E69:P69" si="37">D69*E67/D67</f>
        <v>0.20668596668533309</v>
      </c>
      <c r="F69" s="882">
        <f t="shared" si="37"/>
        <v>0.19465173054841922</v>
      </c>
      <c r="G69" s="882">
        <f t="shared" si="37"/>
        <v>0.18374199105435121</v>
      </c>
      <c r="H69" s="882">
        <f t="shared" si="37"/>
        <v>0.17908218548908228</v>
      </c>
      <c r="I69" s="882">
        <f t="shared" si="37"/>
        <v>0.17841494360421561</v>
      </c>
      <c r="J69" s="882">
        <f t="shared" si="37"/>
        <v>0.17776302581089723</v>
      </c>
      <c r="K69" s="882">
        <f t="shared" si="37"/>
        <v>0.17712025194046424</v>
      </c>
      <c r="L69" s="882">
        <f t="shared" si="37"/>
        <v>0.17648544561095528</v>
      </c>
      <c r="M69" s="882">
        <f t="shared" si="37"/>
        <v>0.17585654524732183</v>
      </c>
      <c r="N69" s="882">
        <f t="shared" si="37"/>
        <v>0.17523244515391345</v>
      </c>
      <c r="O69" s="882">
        <f t="shared" si="37"/>
        <v>0.17460871436726896</v>
      </c>
      <c r="P69" s="882">
        <f t="shared" si="37"/>
        <v>0.17398294833630698</v>
      </c>
      <c r="Q69" s="883" t="s">
        <v>919</v>
      </c>
    </row>
    <row r="70" spans="1:17" s="792" customFormat="1" collapsed="1" x14ac:dyDescent="0.35">
      <c r="A70" s="885" t="s">
        <v>158</v>
      </c>
      <c r="B70" s="886" t="s">
        <v>46</v>
      </c>
      <c r="C70" s="887">
        <f t="shared" ref="C70:D72" si="38">$B13</f>
        <v>1.57</v>
      </c>
      <c r="D70" s="887">
        <f t="shared" si="38"/>
        <v>1.57</v>
      </c>
      <c r="E70" s="888">
        <f>IF(SUM(D32,D46,D54)/D63&lt;D70,D70,SUM(D32,D46,D54)/D63)</f>
        <v>2.2485969355625941</v>
      </c>
      <c r="F70" s="888">
        <f t="shared" ref="F70:P70" si="39">IF(SUM(E32,E46,E54)/E63&lt;E70,E70,SUM(E32,E46,E54)/E63)</f>
        <v>2.2808382932885127</v>
      </c>
      <c r="G70" s="888">
        <f t="shared" si="39"/>
        <v>2.2808382932885127</v>
      </c>
      <c r="H70" s="888">
        <f t="shared" si="39"/>
        <v>2.2808382932885127</v>
      </c>
      <c r="I70" s="888">
        <f t="shared" si="39"/>
        <v>2.2808382932885127</v>
      </c>
      <c r="J70" s="888">
        <f t="shared" si="39"/>
        <v>2.2808382932885127</v>
      </c>
      <c r="K70" s="888">
        <f t="shared" si="39"/>
        <v>2.2808382932885127</v>
      </c>
      <c r="L70" s="888">
        <f t="shared" si="39"/>
        <v>2.2808382932885127</v>
      </c>
      <c r="M70" s="888">
        <f t="shared" si="39"/>
        <v>2.2913368635216367</v>
      </c>
      <c r="N70" s="888">
        <f t="shared" si="39"/>
        <v>2.3228388692839066</v>
      </c>
      <c r="O70" s="888">
        <f t="shared" si="39"/>
        <v>2.3549283534820273</v>
      </c>
      <c r="P70" s="888">
        <f t="shared" si="39"/>
        <v>2.3875817301403117</v>
      </c>
      <c r="Q70" s="813" t="s">
        <v>917</v>
      </c>
    </row>
    <row r="71" spans="1:17" s="792" customFormat="1" x14ac:dyDescent="0.35">
      <c r="A71" s="885" t="s">
        <v>916</v>
      </c>
      <c r="B71" s="886" t="s">
        <v>46</v>
      </c>
      <c r="C71" s="887">
        <f t="shared" si="38"/>
        <v>2.13</v>
      </c>
      <c r="D71" s="887">
        <f t="shared" si="38"/>
        <v>2.13</v>
      </c>
      <c r="E71" s="888">
        <f>IF(SUM(D$33*D66,D$47*D68,D$55*D68)/D64&lt;D71,D71,SUM(D$33*D66,D$47*D68,D$55*D68)/D64)</f>
        <v>2.6557279902923665</v>
      </c>
      <c r="F71" s="888">
        <f t="shared" ref="F71:P71" si="40">IF(SUM(E$33*E66,E$47*E68,E$55*E68)/E64&lt;E71,E71,SUM(E$33*E66,E$47*E68,E$55*E68)/E64)</f>
        <v>3.2681894715795012</v>
      </c>
      <c r="G71" s="888">
        <f t="shared" si="40"/>
        <v>3.289780083086518</v>
      </c>
      <c r="H71" s="888">
        <f t="shared" si="40"/>
        <v>3.3349652829583598</v>
      </c>
      <c r="I71" s="888">
        <f t="shared" si="40"/>
        <v>3.4029516447687986</v>
      </c>
      <c r="J71" s="888">
        <f t="shared" si="40"/>
        <v>3.5104714278762588</v>
      </c>
      <c r="K71" s="888">
        <f t="shared" si="40"/>
        <v>3.6241385442581704</v>
      </c>
      <c r="L71" s="888">
        <f t="shared" si="40"/>
        <v>3.7390020178538705</v>
      </c>
      <c r="M71" s="888">
        <f t="shared" si="40"/>
        <v>3.8551639792939811</v>
      </c>
      <c r="N71" s="888">
        <f t="shared" si="40"/>
        <v>3.9727123677110585</v>
      </c>
      <c r="O71" s="888">
        <f t="shared" si="40"/>
        <v>4.0916449569304039</v>
      </c>
      <c r="P71" s="888">
        <f t="shared" si="40"/>
        <v>4.211946072352692</v>
      </c>
    </row>
    <row r="72" spans="1:17" s="892" customFormat="1" x14ac:dyDescent="0.35">
      <c r="A72" s="889" t="s">
        <v>905</v>
      </c>
      <c r="B72" s="890" t="s">
        <v>46</v>
      </c>
      <c r="C72" s="891">
        <f t="shared" si="38"/>
        <v>1.94</v>
      </c>
      <c r="D72" s="891">
        <f t="shared" si="38"/>
        <v>1.94</v>
      </c>
      <c r="E72" s="888">
        <f>IF(SUM(D$33*D67,D$47*D69,D$55*D69)/D65&lt;D72,D72,SUM(D$33*D67,D$47*D69,D$55*D69)/D65)</f>
        <v>2.3541213131050758</v>
      </c>
      <c r="F72" s="888">
        <f t="shared" ref="F72:P72" si="41">IF(SUM(E$33*E67,E$47*E69,E$55*E69)/E65&lt;E72,E72,SUM(E$33*E67,E$47*E69,E$55*E69)/E65)</f>
        <v>2.9817130745605982</v>
      </c>
      <c r="G72" s="888">
        <f t="shared" si="41"/>
        <v>3.0125981825623684</v>
      </c>
      <c r="H72" s="888">
        <f t="shared" si="41"/>
        <v>3.0545036209304222</v>
      </c>
      <c r="I72" s="888">
        <f t="shared" si="41"/>
        <v>3.1162782062623866</v>
      </c>
      <c r="J72" s="888">
        <f t="shared" si="41"/>
        <v>3.2092524673260403</v>
      </c>
      <c r="K72" s="888">
        <f t="shared" si="41"/>
        <v>3.3070088092251706</v>
      </c>
      <c r="L72" s="888">
        <f t="shared" si="41"/>
        <v>3.4060743156223308</v>
      </c>
      <c r="M72" s="888">
        <f t="shared" si="41"/>
        <v>3.5065311861646213</v>
      </c>
      <c r="N72" s="888">
        <f t="shared" si="41"/>
        <v>3.6084512535617681</v>
      </c>
      <c r="O72" s="888">
        <f t="shared" si="41"/>
        <v>3.7118438377065419</v>
      </c>
      <c r="P72" s="888">
        <f t="shared" si="41"/>
        <v>3.8167062461778891</v>
      </c>
    </row>
    <row r="73" spans="1:17" s="792" customFormat="1" outlineLevel="1" x14ac:dyDescent="0.35">
      <c r="A73" s="893" t="s">
        <v>218</v>
      </c>
      <c r="B73" s="894" t="s">
        <v>46</v>
      </c>
      <c r="C73" s="895">
        <f>C70+C71</f>
        <v>3.7</v>
      </c>
      <c r="D73" s="895">
        <f t="shared" ref="D73:P73" si="42">D70+D71</f>
        <v>3.7</v>
      </c>
      <c r="E73" s="896">
        <f t="shared" si="42"/>
        <v>4.9043249258549606</v>
      </c>
      <c r="F73" s="896">
        <f t="shared" si="42"/>
        <v>5.549027764868014</v>
      </c>
      <c r="G73" s="896">
        <f t="shared" si="42"/>
        <v>5.5706183763750303</v>
      </c>
      <c r="H73" s="896">
        <f t="shared" si="42"/>
        <v>5.6158035762468721</v>
      </c>
      <c r="I73" s="896">
        <f t="shared" si="42"/>
        <v>5.6837899380573109</v>
      </c>
      <c r="J73" s="896">
        <f t="shared" si="42"/>
        <v>5.7913097211647715</v>
      </c>
      <c r="K73" s="896">
        <f t="shared" si="42"/>
        <v>5.9049768375466831</v>
      </c>
      <c r="L73" s="896">
        <f t="shared" si="42"/>
        <v>6.0198403111423833</v>
      </c>
      <c r="M73" s="896">
        <f t="shared" si="42"/>
        <v>6.1465008428156178</v>
      </c>
      <c r="N73" s="896">
        <f t="shared" si="42"/>
        <v>6.2955512369949655</v>
      </c>
      <c r="O73" s="896">
        <f t="shared" si="42"/>
        <v>6.4465733104124308</v>
      </c>
      <c r="P73" s="896">
        <f t="shared" si="42"/>
        <v>6.5995278024930037</v>
      </c>
    </row>
    <row r="74" spans="1:17" s="792" customFormat="1" outlineLevel="1" x14ac:dyDescent="0.35">
      <c r="A74" s="897" t="s">
        <v>160</v>
      </c>
      <c r="B74" s="898" t="s">
        <v>46</v>
      </c>
      <c r="C74" s="899">
        <f t="shared" ref="C74" si="43">SUM(C70:C71)*1.2</f>
        <v>4.4400000000000004</v>
      </c>
      <c r="D74" s="899">
        <f>SUM(D70:D71)*1.2</f>
        <v>4.4400000000000004</v>
      </c>
      <c r="E74" s="900">
        <f>SUM(E70:E71)*1.2</f>
        <v>5.8851899110259529</v>
      </c>
      <c r="F74" s="900">
        <f t="shared" ref="F74:P74" si="44">SUM(F70:F71)*1.2</f>
        <v>6.6588333178416166</v>
      </c>
      <c r="G74" s="900">
        <f t="shared" si="44"/>
        <v>6.6847420516500362</v>
      </c>
      <c r="H74" s="900">
        <f t="shared" si="44"/>
        <v>6.738964291496246</v>
      </c>
      <c r="I74" s="900">
        <f t="shared" si="44"/>
        <v>6.8205479256687731</v>
      </c>
      <c r="J74" s="900">
        <f t="shared" si="44"/>
        <v>6.949571665397726</v>
      </c>
      <c r="K74" s="900">
        <f t="shared" si="44"/>
        <v>7.0859722050560192</v>
      </c>
      <c r="L74" s="900">
        <f t="shared" si="44"/>
        <v>7.2238083733708596</v>
      </c>
      <c r="M74" s="900">
        <f t="shared" si="44"/>
        <v>7.3758010113787407</v>
      </c>
      <c r="N74" s="900">
        <f t="shared" si="44"/>
        <v>7.5546614843939581</v>
      </c>
      <c r="O74" s="900">
        <f t="shared" si="44"/>
        <v>7.7358879724949166</v>
      </c>
      <c r="P74" s="900">
        <f t="shared" si="44"/>
        <v>7.9194333629916045</v>
      </c>
    </row>
    <row r="75" spans="1:17" s="792" customFormat="1" outlineLevel="1" x14ac:dyDescent="0.35">
      <c r="A75" s="868" t="s">
        <v>161</v>
      </c>
      <c r="B75" s="872" t="s">
        <v>131</v>
      </c>
      <c r="C75" s="901">
        <v>0</v>
      </c>
      <c r="D75" s="901">
        <f>(D74-C74)/C74</f>
        <v>0</v>
      </c>
      <c r="E75" s="902">
        <f>(E74-D74)/D74</f>
        <v>0.32549322320404334</v>
      </c>
      <c r="F75" s="902">
        <f>(F74-E74)/E74</f>
        <v>0.1314559799278926</v>
      </c>
      <c r="G75" s="902">
        <f t="shared" ref="G75:P75" si="45">(G74-F74)/F74</f>
        <v>3.8908818664975444E-3</v>
      </c>
      <c r="H75" s="902">
        <f t="shared" si="45"/>
        <v>8.1113436281098922E-3</v>
      </c>
      <c r="I75" s="902">
        <f t="shared" si="45"/>
        <v>1.210625708099919E-2</v>
      </c>
      <c r="J75" s="902">
        <f t="shared" si="45"/>
        <v>1.891691710623113E-2</v>
      </c>
      <c r="K75" s="902">
        <f t="shared" si="45"/>
        <v>1.9627186569992294E-2</v>
      </c>
      <c r="L75" s="902">
        <f t="shared" si="45"/>
        <v>1.9451976994277621E-2</v>
      </c>
      <c r="M75" s="902">
        <f t="shared" si="45"/>
        <v>2.1040513556280352E-2</v>
      </c>
      <c r="N75" s="902">
        <f t="shared" si="45"/>
        <v>2.4249633733242962E-2</v>
      </c>
      <c r="O75" s="902">
        <f t="shared" si="45"/>
        <v>2.3988697372519872E-2</v>
      </c>
      <c r="P75" s="902">
        <f t="shared" si="45"/>
        <v>2.3726479901116298E-2</v>
      </c>
    </row>
    <row r="76" spans="1:17" s="792" customFormat="1" outlineLevel="1" x14ac:dyDescent="0.35">
      <c r="A76" s="868" t="s">
        <v>162</v>
      </c>
      <c r="B76" s="872" t="s">
        <v>165</v>
      </c>
      <c r="C76" s="903">
        <f t="shared" ref="C76:P76" si="46">C6</f>
        <v>1141</v>
      </c>
      <c r="D76" s="903">
        <f t="shared" si="46"/>
        <v>1268.4678252604169</v>
      </c>
      <c r="E76" s="904">
        <f t="shared" si="46"/>
        <v>1352.6179807881931</v>
      </c>
      <c r="F76" s="904">
        <f t="shared" si="46"/>
        <v>1424.3067337699677</v>
      </c>
      <c r="G76" s="904">
        <f t="shared" si="46"/>
        <v>1493.3856103578112</v>
      </c>
      <c r="H76" s="904">
        <f t="shared" si="46"/>
        <v>1560.5879628239127</v>
      </c>
      <c r="I76" s="904">
        <f t="shared" si="46"/>
        <v>1626.6904650608799</v>
      </c>
      <c r="J76" s="904">
        <f t="shared" si="46"/>
        <v>1695.3808173927941</v>
      </c>
      <c r="K76" s="904">
        <f t="shared" si="46"/>
        <v>1766.7520122611534</v>
      </c>
      <c r="L76" s="904">
        <f t="shared" si="46"/>
        <v>1840.900087426166</v>
      </c>
      <c r="M76" s="904">
        <f t="shared" si="46"/>
        <v>1917.9242162743178</v>
      </c>
      <c r="N76" s="904">
        <f t="shared" si="46"/>
        <v>1997.9268005432336</v>
      </c>
      <c r="O76" s="904">
        <f t="shared" si="46"/>
        <v>2081.0135655225054</v>
      </c>
      <c r="P76" s="904">
        <f t="shared" si="46"/>
        <v>2167.2936577904879</v>
      </c>
    </row>
    <row r="77" spans="1:17" s="792" customFormat="1" outlineLevel="1" x14ac:dyDescent="0.35">
      <c r="A77" s="868" t="s">
        <v>163</v>
      </c>
      <c r="B77" s="872" t="s">
        <v>165</v>
      </c>
      <c r="C77" s="905">
        <f>(C79*C70+C80*C71)/1000*365/12*1.2</f>
        <v>13.389175285930126</v>
      </c>
      <c r="D77" s="905">
        <f>(D79*D70+D80*D71)/1000*365/12*1.2</f>
        <v>13.195693123016524</v>
      </c>
      <c r="E77" s="906">
        <f>(E79*E70+E80*E71)/1000*365/12*1.2</f>
        <v>16.957989160836625</v>
      </c>
      <c r="F77" s="906">
        <f t="shared" ref="F77:P77" si="47">(F79*F70+F80*F71)/1000*365/12*1.2</f>
        <v>18.885596982810615</v>
      </c>
      <c r="G77" s="906">
        <f t="shared" si="47"/>
        <v>18.815906947814216</v>
      </c>
      <c r="H77" s="906">
        <f t="shared" si="47"/>
        <v>18.771351201643302</v>
      </c>
      <c r="I77" s="906">
        <f t="shared" si="47"/>
        <v>19.033835681423096</v>
      </c>
      <c r="J77" s="906">
        <f t="shared" si="47"/>
        <v>19.429639067785747</v>
      </c>
      <c r="K77" s="906">
        <f t="shared" si="47"/>
        <v>19.846959858500465</v>
      </c>
      <c r="L77" s="906">
        <f t="shared" si="47"/>
        <v>20.269202385187032</v>
      </c>
      <c r="M77" s="906">
        <f t="shared" si="47"/>
        <v>20.732179560817382</v>
      </c>
      <c r="N77" s="906">
        <f t="shared" si="47"/>
        <v>21.272071232014973</v>
      </c>
      <c r="O77" s="906">
        <f t="shared" si="47"/>
        <v>21.82014679525502</v>
      </c>
      <c r="P77" s="906">
        <f t="shared" si="47"/>
        <v>22.37630569900054</v>
      </c>
      <c r="Q77" s="813"/>
    </row>
    <row r="78" spans="1:17" outlineLevel="1" x14ac:dyDescent="0.35">
      <c r="A78" s="907" t="s">
        <v>164</v>
      </c>
      <c r="B78" s="908" t="s">
        <v>131</v>
      </c>
      <c r="C78" s="909">
        <f>C77/C76</f>
        <v>1.1734597095468997E-2</v>
      </c>
      <c r="D78" s="909">
        <f t="shared" ref="D78:P78" si="48">D77/D76</f>
        <v>1.0402859938767026E-2</v>
      </c>
      <c r="E78" s="910">
        <f>E77/E76</f>
        <v>1.2537160825671504E-2</v>
      </c>
      <c r="F78" s="911">
        <f t="shared" si="48"/>
        <v>1.3259501296341361E-2</v>
      </c>
      <c r="G78" s="910">
        <f t="shared" si="48"/>
        <v>1.2599496618496261E-2</v>
      </c>
      <c r="H78" s="910">
        <f t="shared" si="48"/>
        <v>1.2028383948109017E-2</v>
      </c>
      <c r="I78" s="910">
        <f t="shared" si="48"/>
        <v>1.1700957305796185E-2</v>
      </c>
      <c r="J78" s="910">
        <f t="shared" si="48"/>
        <v>1.1460339098129711E-2</v>
      </c>
      <c r="K78" s="910">
        <f t="shared" si="48"/>
        <v>1.123358554045149E-2</v>
      </c>
      <c r="L78" s="910">
        <f t="shared" si="48"/>
        <v>1.1010484775154849E-2</v>
      </c>
      <c r="M78" s="910">
        <f t="shared" si="48"/>
        <v>1.0809696955123117E-2</v>
      </c>
      <c r="N78" s="910">
        <f t="shared" si="48"/>
        <v>1.0647072368332577E-2</v>
      </c>
      <c r="O78" s="910">
        <f t="shared" si="48"/>
        <v>1.0485345774176331E-2</v>
      </c>
      <c r="P78" s="910">
        <f t="shared" si="48"/>
        <v>1.0324537987073118E-2</v>
      </c>
    </row>
    <row r="79" spans="1:17" outlineLevel="1" x14ac:dyDescent="0.35">
      <c r="A79" s="879" t="s">
        <v>204</v>
      </c>
      <c r="B79" s="879" t="s">
        <v>140</v>
      </c>
      <c r="C79" s="912">
        <f>Q!G5/C61/365*1000</f>
        <v>99.969342194199101</v>
      </c>
      <c r="D79" s="912">
        <f>Q!I5/D61/365*1000</f>
        <v>99.023513814815033</v>
      </c>
      <c r="E79" s="912">
        <f>Q!J5/E61/365*1000</f>
        <v>94.057770990918527</v>
      </c>
      <c r="F79" s="912">
        <f>Q!K5/F61/365*1000</f>
        <v>92.958590197210881</v>
      </c>
      <c r="G79" s="912">
        <f>Q!L5/G61/365*1000</f>
        <v>92.047728728610053</v>
      </c>
      <c r="H79" s="912">
        <f>Q!M5/H61/365*1000</f>
        <v>91.244480612627427</v>
      </c>
      <c r="I79" s="912">
        <f>Q!N5/I61/365*1000</f>
        <v>91.500157159839176</v>
      </c>
      <c r="J79" s="912">
        <f>Q!O5/J61/365*1000</f>
        <v>91.755833707050925</v>
      </c>
      <c r="K79" s="912">
        <f>Q!P5/K61/365*1000</f>
        <v>92.011510254262674</v>
      </c>
      <c r="L79" s="912">
        <f>Q!Q5/L61/365*1000</f>
        <v>92.267186801474423</v>
      </c>
      <c r="M79" s="912">
        <f>Q!R5/M61/365*1000</f>
        <v>92.522863348686172</v>
      </c>
      <c r="N79" s="912">
        <f>Q!S5/N61/365*1000</f>
        <v>92.77853989589795</v>
      </c>
      <c r="O79" s="912">
        <f>Q!T5/O61/365*1000</f>
        <v>93.034216443109671</v>
      </c>
      <c r="P79" s="912">
        <f>Q!U5/P61/365*1000</f>
        <v>93.289892990321476</v>
      </c>
    </row>
    <row r="80" spans="1:17" s="792" customFormat="1" outlineLevel="1" x14ac:dyDescent="0.35">
      <c r="A80" s="879" t="s">
        <v>203</v>
      </c>
      <c r="B80" s="879" t="s">
        <v>140</v>
      </c>
      <c r="C80" s="912">
        <f>Q!G11/C62/365*1000</f>
        <v>98.532794796984305</v>
      </c>
      <c r="D80" s="912">
        <f>Q!I11/D62/365*1000</f>
        <v>96.741278073941089</v>
      </c>
      <c r="E80" s="912">
        <f>Q!J11/E62/365*1000</f>
        <v>95.305102055559416</v>
      </c>
      <c r="F80" s="912">
        <f>Q!K11/F62/365*1000</f>
        <v>93.443206524959422</v>
      </c>
      <c r="G80" s="912">
        <f>Q!L11/G62/365*1000</f>
        <v>92.881076463624709</v>
      </c>
      <c r="H80" s="912">
        <f>Q!M11/H62/365*1000</f>
        <v>91.805959929355822</v>
      </c>
      <c r="I80" s="912">
        <f>Q!N11/I62/365*1000</f>
        <v>91.913703318328373</v>
      </c>
      <c r="J80" s="912">
        <f>Q!O11/J62/365*1000</f>
        <v>92.021446707300953</v>
      </c>
      <c r="K80" s="912">
        <f>Q!P11/K62/365*1000</f>
        <v>92.129190096273476</v>
      </c>
      <c r="L80" s="912">
        <f>Q!Q11/L62/365*1000</f>
        <v>92.236933485246013</v>
      </c>
      <c r="M80" s="912">
        <f>Q!R11/M62/365*1000</f>
        <v>92.344676874218578</v>
      </c>
      <c r="N80" s="912">
        <f>Q!S11/N62/365*1000</f>
        <v>92.452420263191115</v>
      </c>
      <c r="O80" s="912">
        <f>Q!T11/O62/365*1000</f>
        <v>92.560163652163638</v>
      </c>
      <c r="P80" s="912">
        <f>Q!U11/P62/365*1000</f>
        <v>92.667907041136203</v>
      </c>
    </row>
    <row r="81" spans="1:17" s="792" customFormat="1" outlineLevel="1" x14ac:dyDescent="0.35">
      <c r="A81" s="913"/>
      <c r="B81" s="913"/>
      <c r="C81" s="913"/>
      <c r="D81" s="914"/>
      <c r="E81" s="914"/>
      <c r="F81" s="914"/>
      <c r="G81" s="914"/>
      <c r="H81" s="914"/>
      <c r="I81" s="914"/>
      <c r="J81" s="914"/>
      <c r="K81" s="914"/>
      <c r="L81" s="914"/>
      <c r="M81" s="914"/>
      <c r="N81" s="914"/>
      <c r="O81" s="914"/>
      <c r="P81" s="914"/>
    </row>
    <row r="82" spans="1:17" ht="18.5" x14ac:dyDescent="0.35">
      <c r="A82" s="753" t="s">
        <v>176</v>
      </c>
      <c r="B82" s="792"/>
      <c r="D82" s="915"/>
      <c r="E82" s="915"/>
      <c r="F82" s="915"/>
      <c r="G82" s="915"/>
      <c r="H82" s="915"/>
      <c r="I82" s="915"/>
      <c r="J82" s="915"/>
      <c r="K82" s="915"/>
      <c r="L82" s="915"/>
      <c r="M82" s="915"/>
      <c r="N82" s="915"/>
      <c r="O82" s="915"/>
      <c r="P82" s="915"/>
    </row>
    <row r="83" spans="1:17" s="792" customFormat="1" hidden="1" outlineLevel="1" x14ac:dyDescent="0.35">
      <c r="A83" s="827" t="s">
        <v>156</v>
      </c>
      <c r="D83" s="916"/>
      <c r="E83" s="917">
        <f>D32/D63</f>
        <v>1.0946271031418413</v>
      </c>
      <c r="F83" s="917">
        <f t="shared" ref="F83:G83" si="49">IF(F$70=E$70,E83,E32/E63)</f>
        <v>1.132687994341498</v>
      </c>
      <c r="G83" s="917">
        <f t="shared" si="49"/>
        <v>1.132687994341498</v>
      </c>
      <c r="H83" s="917">
        <f>IF(H$70=G$70,G83,G32/G63)</f>
        <v>1.132687994341498</v>
      </c>
      <c r="I83" s="917">
        <f t="shared" ref="I83:P83" si="50">IF(I$70=H$70,H83,H32/H63)</f>
        <v>1.132687994341498</v>
      </c>
      <c r="J83" s="917">
        <f t="shared" si="50"/>
        <v>1.132687994341498</v>
      </c>
      <c r="K83" s="917">
        <f t="shared" si="50"/>
        <v>1.132687994341498</v>
      </c>
      <c r="L83" s="917">
        <f t="shared" si="50"/>
        <v>1.132687994341498</v>
      </c>
      <c r="M83" s="917">
        <f t="shared" si="50"/>
        <v>1.2612162417555366</v>
      </c>
      <c r="N83" s="917">
        <f t="shared" si="50"/>
        <v>1.2894908880941587</v>
      </c>
      <c r="O83" s="917">
        <f t="shared" si="50"/>
        <v>1.3184510171925474</v>
      </c>
      <c r="P83" s="917">
        <f t="shared" si="50"/>
        <v>1.3480884321653352</v>
      </c>
    </row>
    <row r="84" spans="1:17" s="792" customFormat="1" hidden="1" outlineLevel="1" x14ac:dyDescent="0.35">
      <c r="A84" s="827" t="s">
        <v>179</v>
      </c>
      <c r="D84" s="916"/>
      <c r="E84" s="917">
        <f>D46/D63</f>
        <v>0.41439938156851908</v>
      </c>
      <c r="F84" s="917">
        <f t="shared" ref="F84:G84" si="51">IF(F$70=E$70,E84,E46/E63)</f>
        <v>0.42835931835665181</v>
      </c>
      <c r="G84" s="917">
        <f t="shared" si="51"/>
        <v>0.42835931835665181</v>
      </c>
      <c r="H84" s="917">
        <f>IF(H$70=G$70,G84,G46/G63)</f>
        <v>0.42835931835665181</v>
      </c>
      <c r="I84" s="917">
        <f t="shared" ref="I84:P84" si="52">IF(I$70=H$70,H84,H46/H63)</f>
        <v>0.42835931835665181</v>
      </c>
      <c r="J84" s="917">
        <f t="shared" si="52"/>
        <v>0.42835931835665181</v>
      </c>
      <c r="K84" s="917">
        <f t="shared" si="52"/>
        <v>0.42835931835665181</v>
      </c>
      <c r="L84" s="917">
        <f t="shared" si="52"/>
        <v>0.42835931835665181</v>
      </c>
      <c r="M84" s="917">
        <f t="shared" si="52"/>
        <v>0.44176589867522442</v>
      </c>
      <c r="N84" s="917">
        <f t="shared" si="52"/>
        <v>0.45176506880130679</v>
      </c>
      <c r="O84" s="917">
        <f t="shared" si="52"/>
        <v>0.46187531030376416</v>
      </c>
      <c r="P84" s="917">
        <f t="shared" si="52"/>
        <v>0.47207909170115436</v>
      </c>
    </row>
    <row r="85" spans="1:17" s="792" customFormat="1" hidden="1" outlineLevel="1" x14ac:dyDescent="0.35">
      <c r="A85" s="827" t="s">
        <v>75</v>
      </c>
      <c r="D85" s="916"/>
      <c r="E85" s="917">
        <f>D54/D63</f>
        <v>0.73957045085223339</v>
      </c>
      <c r="F85" s="917">
        <f t="shared" ref="F85:G85" si="53">IF(F$70=E$70,E85,E54/E63)</f>
        <v>0.71979098059036306</v>
      </c>
      <c r="G85" s="917">
        <f t="shared" si="53"/>
        <v>0.71979098059036306</v>
      </c>
      <c r="H85" s="917">
        <f>IF(H$70=G$70,G85,G54/G63)</f>
        <v>0.71979098059036306</v>
      </c>
      <c r="I85" s="917">
        <f t="shared" ref="I85:P85" si="54">IF(I$70=H$70,H85,H54/H63)</f>
        <v>0.71979098059036306</v>
      </c>
      <c r="J85" s="917">
        <f t="shared" si="54"/>
        <v>0.71979098059036306</v>
      </c>
      <c r="K85" s="917">
        <f t="shared" si="54"/>
        <v>0.71979098059036306</v>
      </c>
      <c r="L85" s="917">
        <f t="shared" si="54"/>
        <v>0.71979098059036306</v>
      </c>
      <c r="M85" s="917">
        <f t="shared" si="54"/>
        <v>0.58835472309087566</v>
      </c>
      <c r="N85" s="917">
        <f t="shared" si="54"/>
        <v>0.58158291238844151</v>
      </c>
      <c r="O85" s="917">
        <f t="shared" si="54"/>
        <v>0.57460202598571586</v>
      </c>
      <c r="P85" s="917">
        <f t="shared" si="54"/>
        <v>0.567414206273822</v>
      </c>
    </row>
    <row r="86" spans="1:17" s="792" customFormat="1" hidden="1" outlineLevel="1" x14ac:dyDescent="0.35">
      <c r="A86" s="918" t="s">
        <v>158</v>
      </c>
      <c r="B86" s="918"/>
      <c r="C86" s="918"/>
      <c r="D86" s="918"/>
      <c r="E86" s="919">
        <f>SUM(E83:E85)</f>
        <v>2.2485969355625937</v>
      </c>
      <c r="F86" s="919">
        <f t="shared" ref="F86:P86" si="55">SUM(F83:F85)</f>
        <v>2.2808382932885127</v>
      </c>
      <c r="G86" s="919">
        <f t="shared" si="55"/>
        <v>2.2808382932885127</v>
      </c>
      <c r="H86" s="919">
        <f t="shared" si="55"/>
        <v>2.2808382932885127</v>
      </c>
      <c r="I86" s="919">
        <f t="shared" si="55"/>
        <v>2.2808382932885127</v>
      </c>
      <c r="J86" s="919">
        <f t="shared" si="55"/>
        <v>2.2808382932885127</v>
      </c>
      <c r="K86" s="919">
        <f t="shared" si="55"/>
        <v>2.2808382932885127</v>
      </c>
      <c r="L86" s="919">
        <f t="shared" si="55"/>
        <v>2.2808382932885127</v>
      </c>
      <c r="M86" s="919">
        <f t="shared" si="55"/>
        <v>2.2913368635216367</v>
      </c>
      <c r="N86" s="919">
        <f t="shared" si="55"/>
        <v>2.322838869283907</v>
      </c>
      <c r="O86" s="919">
        <f t="shared" si="55"/>
        <v>2.3549283534820273</v>
      </c>
      <c r="P86" s="919">
        <f t="shared" si="55"/>
        <v>2.3875817301403117</v>
      </c>
    </row>
    <row r="87" spans="1:17" s="792" customFormat="1" hidden="1" outlineLevel="1" x14ac:dyDescent="0.35">
      <c r="A87" s="827" t="s">
        <v>157</v>
      </c>
      <c r="D87" s="916"/>
      <c r="E87" s="917">
        <f>D33*D66/D64</f>
        <v>1.6883568452242372</v>
      </c>
      <c r="F87" s="917">
        <f>IF(F$71=E$71,E87,E33*E66/E64)</f>
        <v>2.3366826212606808</v>
      </c>
      <c r="G87" s="917">
        <f t="shared" ref="G87:P87" si="56">IF(G$71=F$71,F87,F33*F66/F64)</f>
        <v>2.3748231163904254</v>
      </c>
      <c r="H87" s="917">
        <f t="shared" si="56"/>
        <v>2.3966408411056332</v>
      </c>
      <c r="I87" s="917">
        <f t="shared" si="56"/>
        <v>2.438369527386397</v>
      </c>
      <c r="J87" s="917">
        <f t="shared" si="56"/>
        <v>2.4961235914625512</v>
      </c>
      <c r="K87" s="917">
        <f t="shared" si="56"/>
        <v>2.5553641580803026</v>
      </c>
      <c r="L87" s="917">
        <f t="shared" si="56"/>
        <v>2.6161090095359922</v>
      </c>
      <c r="M87" s="917">
        <f t="shared" si="56"/>
        <v>2.6783939886641321</v>
      </c>
      <c r="N87" s="917">
        <f t="shared" si="56"/>
        <v>2.7422518134788443</v>
      </c>
      <c r="O87" s="917">
        <f t="shared" si="56"/>
        <v>2.8077192968477109</v>
      </c>
      <c r="P87" s="917">
        <f t="shared" si="56"/>
        <v>2.8748191005281654</v>
      </c>
      <c r="Q87" s="813"/>
    </row>
    <row r="88" spans="1:17" s="792" customFormat="1" hidden="1" outlineLevel="1" x14ac:dyDescent="0.35">
      <c r="A88" s="827" t="s">
        <v>205</v>
      </c>
      <c r="D88" s="916"/>
      <c r="E88" s="917">
        <f>D47*D68/D64</f>
        <v>0.34850521779736759</v>
      </c>
      <c r="F88" s="917">
        <f>IF(F$71=E$71,E88,E47*E68/E64)</f>
        <v>0.35441328590167981</v>
      </c>
      <c r="G88" s="917">
        <f t="shared" ref="G88:P88" si="57">IF(G$71=F$71,F88,F47*F68/F64)</f>
        <v>0.36579718341470779</v>
      </c>
      <c r="H88" s="917">
        <f t="shared" si="57"/>
        <v>0.39966192869311262</v>
      </c>
      <c r="I88" s="917">
        <f t="shared" si="57"/>
        <v>0.41292596891892314</v>
      </c>
      <c r="J88" s="917">
        <f t="shared" si="57"/>
        <v>0.43516239781598726</v>
      </c>
      <c r="K88" s="917">
        <f t="shared" si="57"/>
        <v>0.45772442319835493</v>
      </c>
      <c r="L88" s="917">
        <f t="shared" si="57"/>
        <v>0.48060451137176574</v>
      </c>
      <c r="M88" s="917">
        <f t="shared" si="57"/>
        <v>0.50380722978566506</v>
      </c>
      <c r="N88" s="917">
        <f t="shared" si="57"/>
        <v>0.52733372444902316</v>
      </c>
      <c r="O88" s="917">
        <f t="shared" si="57"/>
        <v>0.55118729725277316</v>
      </c>
      <c r="P88" s="917">
        <f t="shared" si="57"/>
        <v>0.57535876142568043</v>
      </c>
    </row>
    <row r="89" spans="1:17" s="792" customFormat="1" hidden="1" outlineLevel="1" x14ac:dyDescent="0.35">
      <c r="A89" s="827" t="s">
        <v>76</v>
      </c>
      <c r="D89" s="916"/>
      <c r="E89" s="917">
        <f>D55*D68/D64</f>
        <v>0.61886592727076184</v>
      </c>
      <c r="F89" s="917">
        <f>IF(F$71=E$71,E89,E55*E68/E64)</f>
        <v>0.57709356441714066</v>
      </c>
      <c r="G89" s="917">
        <f t="shared" ref="G89:P89" si="58">IF(G$71=F$71,F89,F55*F68/F64)</f>
        <v>0.54915978328138493</v>
      </c>
      <c r="H89" s="917">
        <f t="shared" si="58"/>
        <v>0.53866251315961378</v>
      </c>
      <c r="I89" s="917">
        <f t="shared" si="58"/>
        <v>0.55165614846347821</v>
      </c>
      <c r="J89" s="917">
        <f t="shared" si="58"/>
        <v>0.57918543859772054</v>
      </c>
      <c r="K89" s="917">
        <f t="shared" si="58"/>
        <v>0.61104996297951286</v>
      </c>
      <c r="L89" s="917">
        <f t="shared" si="58"/>
        <v>0.64228849694611279</v>
      </c>
      <c r="M89" s="917">
        <f t="shared" si="58"/>
        <v>0.67296276084418338</v>
      </c>
      <c r="N89" s="917">
        <f t="shared" si="58"/>
        <v>0.70312682978319085</v>
      </c>
      <c r="O89" s="917">
        <f t="shared" si="58"/>
        <v>0.73273836282991955</v>
      </c>
      <c r="P89" s="917">
        <f t="shared" si="58"/>
        <v>0.76176821039884668</v>
      </c>
    </row>
    <row r="90" spans="1:17" s="792" customFormat="1" hidden="1" outlineLevel="1" x14ac:dyDescent="0.35">
      <c r="A90" s="918" t="s">
        <v>159</v>
      </c>
      <c r="B90" s="918"/>
      <c r="C90" s="918"/>
      <c r="D90" s="918"/>
      <c r="E90" s="919">
        <f>SUM(E87:E89)</f>
        <v>2.6557279902923669</v>
      </c>
      <c r="F90" s="919">
        <f t="shared" ref="F90:P90" si="59">SUM(F87:F89)</f>
        <v>3.2681894715795012</v>
      </c>
      <c r="G90" s="919">
        <f t="shared" si="59"/>
        <v>3.2897800830865185</v>
      </c>
      <c r="H90" s="919">
        <f t="shared" si="59"/>
        <v>3.3349652829583598</v>
      </c>
      <c r="I90" s="919">
        <f t="shared" si="59"/>
        <v>3.4029516447687986</v>
      </c>
      <c r="J90" s="919">
        <f t="shared" si="59"/>
        <v>3.5104714278762592</v>
      </c>
      <c r="K90" s="919">
        <f t="shared" si="59"/>
        <v>3.6241385442581704</v>
      </c>
      <c r="L90" s="919">
        <f t="shared" si="59"/>
        <v>3.739002017853871</v>
      </c>
      <c r="M90" s="919">
        <f t="shared" si="59"/>
        <v>3.8551639792939802</v>
      </c>
      <c r="N90" s="919">
        <f t="shared" si="59"/>
        <v>3.9727123677110581</v>
      </c>
      <c r="O90" s="919">
        <f t="shared" si="59"/>
        <v>4.0916449569304039</v>
      </c>
      <c r="P90" s="919">
        <f t="shared" si="59"/>
        <v>4.211946072352692</v>
      </c>
    </row>
    <row r="91" spans="1:17" s="792" customFormat="1" hidden="1" outlineLevel="1" x14ac:dyDescent="0.35">
      <c r="D91" s="916"/>
      <c r="E91" s="920" t="str">
        <f>IF(ROUND(E86+E90,2)=ROUND(E70+E71,2),"ok","viga")</f>
        <v>ok</v>
      </c>
      <c r="F91" s="920" t="str">
        <f t="shared" ref="F91:P91" si="60">IF(ROUND(F86+F90,2)=ROUND(F70+F71,2),"ok","viga")</f>
        <v>ok</v>
      </c>
      <c r="G91" s="920" t="str">
        <f t="shared" si="60"/>
        <v>ok</v>
      </c>
      <c r="H91" s="920" t="str">
        <f t="shared" si="60"/>
        <v>ok</v>
      </c>
      <c r="I91" s="920" t="str">
        <f t="shared" si="60"/>
        <v>ok</v>
      </c>
      <c r="J91" s="920" t="str">
        <f t="shared" si="60"/>
        <v>ok</v>
      </c>
      <c r="K91" s="920" t="str">
        <f t="shared" si="60"/>
        <v>ok</v>
      </c>
      <c r="L91" s="920" t="str">
        <f t="shared" si="60"/>
        <v>ok</v>
      </c>
      <c r="M91" s="920" t="str">
        <f t="shared" si="60"/>
        <v>ok</v>
      </c>
      <c r="N91" s="920" t="str">
        <f t="shared" si="60"/>
        <v>ok</v>
      </c>
      <c r="O91" s="920" t="str">
        <f t="shared" si="60"/>
        <v>ok</v>
      </c>
      <c r="P91" s="920" t="str">
        <f t="shared" si="60"/>
        <v>ok</v>
      </c>
    </row>
    <row r="92" spans="1:17" ht="18.5" collapsed="1" x14ac:dyDescent="0.35">
      <c r="A92" s="753" t="s">
        <v>175</v>
      </c>
      <c r="B92" s="848"/>
      <c r="D92" s="921"/>
      <c r="F92" s="922"/>
      <c r="G92" s="922"/>
      <c r="H92" s="922"/>
      <c r="I92" s="922"/>
      <c r="J92" s="922"/>
      <c r="K92" s="922"/>
      <c r="L92" s="922"/>
      <c r="M92" s="922"/>
      <c r="N92" s="922"/>
      <c r="O92" s="922"/>
      <c r="P92" s="922"/>
    </row>
    <row r="93" spans="1:17" x14ac:dyDescent="0.35">
      <c r="A93" s="863"/>
      <c r="B93" s="923" t="s">
        <v>874</v>
      </c>
      <c r="C93" s="923" t="s">
        <v>872</v>
      </c>
      <c r="D93" s="866">
        <f>D$2</f>
        <v>2023</v>
      </c>
      <c r="E93" s="867">
        <f t="shared" ref="E93:P93" si="61">E$2</f>
        <v>2024</v>
      </c>
      <c r="F93" s="867">
        <f t="shared" si="61"/>
        <v>2025</v>
      </c>
      <c r="G93" s="867">
        <f t="shared" si="61"/>
        <v>2026</v>
      </c>
      <c r="H93" s="867">
        <f t="shared" si="61"/>
        <v>2027</v>
      </c>
      <c r="I93" s="867">
        <f t="shared" si="61"/>
        <v>2028</v>
      </c>
      <c r="J93" s="867">
        <f t="shared" si="61"/>
        <v>2029</v>
      </c>
      <c r="K93" s="867">
        <f t="shared" si="61"/>
        <v>2030</v>
      </c>
      <c r="L93" s="867">
        <f t="shared" si="61"/>
        <v>2031</v>
      </c>
      <c r="M93" s="867">
        <f t="shared" si="61"/>
        <v>2032</v>
      </c>
      <c r="N93" s="867">
        <f t="shared" si="61"/>
        <v>2033</v>
      </c>
      <c r="O93" s="867">
        <f t="shared" si="61"/>
        <v>2034</v>
      </c>
      <c r="P93" s="867">
        <f t="shared" si="61"/>
        <v>2035</v>
      </c>
    </row>
    <row r="94" spans="1:17" s="799" customFormat="1" x14ac:dyDescent="0.35">
      <c r="A94" s="924" t="s">
        <v>172</v>
      </c>
      <c r="B94" s="925">
        <f>Fin!D4</f>
        <v>458370</v>
      </c>
      <c r="C94" s="925">
        <f>Fin!E4</f>
        <v>522071</v>
      </c>
      <c r="D94" s="926">
        <f>D63*D70</f>
        <v>607527.25799706054</v>
      </c>
      <c r="E94" s="927">
        <f t="shared" ref="E94:P94" si="62">E63*E70</f>
        <v>901156.73450476199</v>
      </c>
      <c r="F94" s="927">
        <f t="shared" si="62"/>
        <v>958701.83198857796</v>
      </c>
      <c r="G94" s="927">
        <f t="shared" si="62"/>
        <v>1020938.5584240673</v>
      </c>
      <c r="H94" s="927">
        <f t="shared" si="62"/>
        <v>1052988.1419664398</v>
      </c>
      <c r="I94" s="927">
        <f t="shared" si="62"/>
        <v>1061158.6760151305</v>
      </c>
      <c r="J94" s="927">
        <f t="shared" si="62"/>
        <v>1069241.3354783454</v>
      </c>
      <c r="K94" s="927">
        <f t="shared" si="62"/>
        <v>1077296.6607516995</v>
      </c>
      <c r="L94" s="927">
        <f t="shared" si="62"/>
        <v>1085335.1330954751</v>
      </c>
      <c r="M94" s="927">
        <f t="shared" si="62"/>
        <v>1098409.7347274432</v>
      </c>
      <c r="N94" s="927">
        <f t="shared" si="62"/>
        <v>1121715.3883540849</v>
      </c>
      <c r="O94" s="927">
        <f t="shared" si="62"/>
        <v>1145592.3917388343</v>
      </c>
      <c r="P94" s="927">
        <f t="shared" si="62"/>
        <v>1170065.8776407735</v>
      </c>
    </row>
    <row r="95" spans="1:17" s="799" customFormat="1" x14ac:dyDescent="0.35">
      <c r="A95" s="928" t="s">
        <v>173</v>
      </c>
      <c r="B95" s="925">
        <f>Fin!D5</f>
        <v>971683</v>
      </c>
      <c r="C95" s="925">
        <f>Fin!E5</f>
        <v>1045324</v>
      </c>
      <c r="D95" s="926">
        <f>D64*D71+D65*D72</f>
        <v>1306085.0423285617</v>
      </c>
      <c r="E95" s="927">
        <f t="shared" ref="E95:P95" si="63">E64*E71+E65*E72</f>
        <v>1703955.9063055224</v>
      </c>
      <c r="F95" s="927">
        <f t="shared" si="63"/>
        <v>2246046.3507530736</v>
      </c>
      <c r="G95" s="927">
        <f t="shared" si="63"/>
        <v>2400249.8782324232</v>
      </c>
      <c r="H95" s="927">
        <f t="shared" si="63"/>
        <v>2497949.9124963628</v>
      </c>
      <c r="I95" s="927">
        <f t="shared" si="63"/>
        <v>2558509.5603018375</v>
      </c>
      <c r="J95" s="927">
        <f t="shared" si="63"/>
        <v>2648230.6011041584</v>
      </c>
      <c r="K95" s="927">
        <f t="shared" si="63"/>
        <v>2742990.1314097</v>
      </c>
      <c r="L95" s="927">
        <f t="shared" si="63"/>
        <v>2839278.2329134075</v>
      </c>
      <c r="M95" s="927">
        <f t="shared" si="63"/>
        <v>2937208.8093279414</v>
      </c>
      <c r="N95" s="927">
        <f t="shared" si="63"/>
        <v>3036874.5199579112</v>
      </c>
      <c r="O95" s="927">
        <f t="shared" si="63"/>
        <v>3138367.0967045273</v>
      </c>
      <c r="P95" s="927">
        <f t="shared" si="63"/>
        <v>3241741.1622619713</v>
      </c>
    </row>
    <row r="96" spans="1:17" s="932" customFormat="1" x14ac:dyDescent="0.35">
      <c r="A96" s="929" t="s">
        <v>170</v>
      </c>
      <c r="B96" s="930">
        <f t="shared" ref="B96:P96" si="64">B94+B95</f>
        <v>1430053</v>
      </c>
      <c r="C96" s="930">
        <f t="shared" si="64"/>
        <v>1567395</v>
      </c>
      <c r="D96" s="931">
        <f t="shared" si="64"/>
        <v>1913612.3003256223</v>
      </c>
      <c r="E96" s="929">
        <f t="shared" si="64"/>
        <v>2605112.6408102843</v>
      </c>
      <c r="F96" s="929">
        <f t="shared" si="64"/>
        <v>3204748.1827416513</v>
      </c>
      <c r="G96" s="929">
        <f t="shared" si="64"/>
        <v>3421188.4366564904</v>
      </c>
      <c r="H96" s="929">
        <f t="shared" si="64"/>
        <v>3550938.0544628026</v>
      </c>
      <c r="I96" s="929">
        <f t="shared" si="64"/>
        <v>3619668.2363169678</v>
      </c>
      <c r="J96" s="929">
        <f t="shared" si="64"/>
        <v>3717471.9365825038</v>
      </c>
      <c r="K96" s="929">
        <f t="shared" si="64"/>
        <v>3820286.7921613995</v>
      </c>
      <c r="L96" s="929">
        <f t="shared" si="64"/>
        <v>3924613.3660088824</v>
      </c>
      <c r="M96" s="929">
        <f t="shared" si="64"/>
        <v>4035618.5440553846</v>
      </c>
      <c r="N96" s="929">
        <f t="shared" si="64"/>
        <v>4158589.9083119961</v>
      </c>
      <c r="O96" s="929">
        <f t="shared" si="64"/>
        <v>4283959.4884433616</v>
      </c>
      <c r="P96" s="929">
        <f t="shared" si="64"/>
        <v>4411807.0399027448</v>
      </c>
    </row>
    <row r="97" spans="1:17" s="932" customFormat="1" x14ac:dyDescent="0.35">
      <c r="A97" s="927" t="s">
        <v>527</v>
      </c>
      <c r="B97" s="925">
        <f>Fin!D6</f>
        <v>125707</v>
      </c>
      <c r="C97" s="925">
        <f>Fin!E6</f>
        <v>106860</v>
      </c>
      <c r="D97" s="926">
        <f>C97*Q!$I$13/Q!$G$13*(1+D$3)</f>
        <v>103740.62798922361</v>
      </c>
      <c r="E97" s="933">
        <f>D97*Q!$J$13/Q!$I$13*(1+E$3)</f>
        <v>103116.62811186841</v>
      </c>
      <c r="F97" s="933">
        <f>E97*Q!$J$13/Q!$I$13*(1+F$3)</f>
        <v>100400.02054426124</v>
      </c>
      <c r="G97" s="933">
        <f>F97*Q!$J$13/Q!$I$13*(1+G$3)</f>
        <v>97039.631856644817</v>
      </c>
      <c r="H97" s="933">
        <f>G97*Q!$J$13/Q!$I$13*(1+H$3)</f>
        <v>93948.434383851389</v>
      </c>
      <c r="I97" s="933">
        <f>H97*Q!$J$13/Q!$I$13*(1+I$3)</f>
        <v>91036.03291795199</v>
      </c>
      <c r="J97" s="933">
        <f>I97*Q!$J$13/Q!$I$13*(1+J$3)</f>
        <v>88213.915897495477</v>
      </c>
      <c r="K97" s="933">
        <f>J97*Q!$J$13/Q!$I$13*(1+K$3)</f>
        <v>85479.284504673124</v>
      </c>
      <c r="L97" s="933">
        <f>K97*Q!$J$13/Q!$I$13*(1+L$3)</f>
        <v>82829.426685028244</v>
      </c>
      <c r="M97" s="933">
        <f>L97*Q!$J$13/Q!$I$13*(1+M$3)</f>
        <v>80261.714457792361</v>
      </c>
      <c r="N97" s="933">
        <f>M97*Q!$J$13/Q!$I$13*(1+N$3)</f>
        <v>77773.601309600796</v>
      </c>
      <c r="O97" s="933">
        <f>N97*Q!$J$13/Q!$I$13*(1+O$3)</f>
        <v>75362.619669003165</v>
      </c>
      <c r="P97" s="933">
        <f>O97*Q!$J$13/Q!$I$13*(1+P$3)</f>
        <v>73026.378459264073</v>
      </c>
    </row>
    <row r="98" spans="1:17" s="799" customFormat="1" x14ac:dyDescent="0.35">
      <c r="A98" s="924" t="s">
        <v>944</v>
      </c>
      <c r="B98" s="925"/>
      <c r="C98" s="925"/>
      <c r="D98" s="926"/>
      <c r="E98" s="927">
        <f>'Inv-amort'!F26</f>
        <v>0</v>
      </c>
      <c r="F98" s="927">
        <f>'Inv-amort'!G26</f>
        <v>0</v>
      </c>
      <c r="G98" s="927">
        <f>'Inv-amort'!H26</f>
        <v>0</v>
      </c>
      <c r="H98" s="927">
        <f>'Inv-amort'!I26</f>
        <v>0</v>
      </c>
      <c r="I98" s="927">
        <f>'Inv-amort'!J26</f>
        <v>63303.77442715998</v>
      </c>
      <c r="J98" s="927">
        <f>'Inv-amort'!K26</f>
        <v>63303.77442715998</v>
      </c>
      <c r="K98" s="927">
        <f>'Inv-amort'!L26</f>
        <v>63303.77442715998</v>
      </c>
      <c r="L98" s="927">
        <f>'Inv-amort'!M26</f>
        <v>63303.77442715998</v>
      </c>
      <c r="M98" s="927">
        <f>'Inv-amort'!N26</f>
        <v>63303.77442715998</v>
      </c>
      <c r="N98" s="927">
        <f>'Inv-amort'!O26</f>
        <v>63303.77442715998</v>
      </c>
      <c r="O98" s="927">
        <f>'Inv-amort'!P26</f>
        <v>63303.77442715998</v>
      </c>
      <c r="P98" s="927">
        <f>'Inv-amort'!Q26</f>
        <v>0</v>
      </c>
    </row>
    <row r="99" spans="1:17" s="861" customFormat="1" x14ac:dyDescent="0.35">
      <c r="A99" s="924" t="s">
        <v>169</v>
      </c>
      <c r="B99" s="925">
        <f>Fin!D7</f>
        <v>113075</v>
      </c>
      <c r="C99" s="925">
        <f>Fin!E7</f>
        <v>119698</v>
      </c>
      <c r="D99" s="926">
        <f>Fin!F7</f>
        <v>116386.5</v>
      </c>
      <c r="E99" s="927">
        <f>D99*(100%+E$3)</f>
        <v>121775.19495</v>
      </c>
      <c r="F99" s="927">
        <f t="shared" ref="F99:P99" si="65">E99*(100%+F$3)</f>
        <v>124807.39730425499</v>
      </c>
      <c r="G99" s="927">
        <f t="shared" si="65"/>
        <v>126979.04601734904</v>
      </c>
      <c r="H99" s="927">
        <f t="shared" si="65"/>
        <v>129404.3457962804</v>
      </c>
      <c r="I99" s="927">
        <f t="shared" si="65"/>
        <v>131992.43271220601</v>
      </c>
      <c r="J99" s="927">
        <f t="shared" si="65"/>
        <v>134632.28136645013</v>
      </c>
      <c r="K99" s="927">
        <f t="shared" si="65"/>
        <v>137324.92699377914</v>
      </c>
      <c r="L99" s="927">
        <f t="shared" si="65"/>
        <v>140071.42553365472</v>
      </c>
      <c r="M99" s="927">
        <f t="shared" si="65"/>
        <v>142872.85404432783</v>
      </c>
      <c r="N99" s="927">
        <f t="shared" si="65"/>
        <v>145730.31112521439</v>
      </c>
      <c r="O99" s="927">
        <f t="shared" si="65"/>
        <v>148644.91734771867</v>
      </c>
      <c r="P99" s="927">
        <f t="shared" si="65"/>
        <v>151617.81569467305</v>
      </c>
      <c r="Q99" s="813"/>
    </row>
    <row r="100" spans="1:17" x14ac:dyDescent="0.35">
      <c r="A100" s="868" t="s">
        <v>171</v>
      </c>
      <c r="B100" s="930">
        <f>B96+B97+B99</f>
        <v>1668835</v>
      </c>
      <c r="C100" s="930">
        <f t="shared" ref="C100" si="66">C96+C97+C99</f>
        <v>1793953</v>
      </c>
      <c r="D100" s="931">
        <f>D96+D97+D98+D99</f>
        <v>2133739.428314846</v>
      </c>
      <c r="E100" s="929">
        <f>E96+E97+E98+E99</f>
        <v>2830004.4638721528</v>
      </c>
      <c r="F100" s="929">
        <f t="shared" ref="F100:P100" si="67">F96+F97+F98+F99</f>
        <v>3429955.6005901676</v>
      </c>
      <c r="G100" s="929">
        <f t="shared" si="67"/>
        <v>3645207.1145304847</v>
      </c>
      <c r="H100" s="929">
        <f t="shared" si="67"/>
        <v>3774290.8346429346</v>
      </c>
      <c r="I100" s="929">
        <f t="shared" si="67"/>
        <v>3906000.4763742862</v>
      </c>
      <c r="J100" s="929">
        <f t="shared" si="67"/>
        <v>4003621.9082736098</v>
      </c>
      <c r="K100" s="929">
        <f t="shared" si="67"/>
        <v>4106394.7780870115</v>
      </c>
      <c r="L100" s="929">
        <f t="shared" si="67"/>
        <v>4210817.9926547259</v>
      </c>
      <c r="M100" s="929">
        <f t="shared" si="67"/>
        <v>4322056.8869846649</v>
      </c>
      <c r="N100" s="929">
        <f t="shared" si="67"/>
        <v>4445397.5951739708</v>
      </c>
      <c r="O100" s="929">
        <f t="shared" si="67"/>
        <v>4571270.7998872437</v>
      </c>
      <c r="P100" s="929">
        <f t="shared" si="67"/>
        <v>4636451.2340566823</v>
      </c>
    </row>
    <row r="101" spans="1:17" x14ac:dyDescent="0.35">
      <c r="A101" s="868" t="s">
        <v>150</v>
      </c>
      <c r="B101" s="930">
        <f>-Fin!D9</f>
        <v>-813204</v>
      </c>
      <c r="C101" s="930">
        <f>-Fin!E9</f>
        <v>-1316633.8999999999</v>
      </c>
      <c r="D101" s="931">
        <f>-D34</f>
        <v>-1486116.6233357268</v>
      </c>
      <c r="E101" s="929">
        <f>-E34</f>
        <v>-2001232.3284512202</v>
      </c>
      <c r="F101" s="929">
        <f t="shared" ref="F101:P101" si="68">-F34</f>
        <v>-2150723.7996853227</v>
      </c>
      <c r="G101" s="929">
        <f t="shared" si="68"/>
        <v>-2295958.8244181345</v>
      </c>
      <c r="H101" s="929">
        <f t="shared" si="68"/>
        <v>-2396639.7619648934</v>
      </c>
      <c r="I101" s="929">
        <f t="shared" si="68"/>
        <v>-2463962.1453527655</v>
      </c>
      <c r="J101" s="929">
        <f t="shared" si="68"/>
        <v>-2533095.0627113236</v>
      </c>
      <c r="K101" s="929">
        <f t="shared" si="68"/>
        <v>-2604155.1921208948</v>
      </c>
      <c r="L101" s="929">
        <f t="shared" si="68"/>
        <v>-2677208.7361599877</v>
      </c>
      <c r="M101" s="929">
        <f t="shared" si="68"/>
        <v>-2752335.754712515</v>
      </c>
      <c r="N101" s="929">
        <f t="shared" si="68"/>
        <v>-2829608.5858410075</v>
      </c>
      <c r="O101" s="929">
        <f t="shared" si="68"/>
        <v>-2909146.0866366285</v>
      </c>
      <c r="P101" s="929">
        <f t="shared" si="68"/>
        <v>-2991048.3584480854</v>
      </c>
      <c r="Q101" s="813" t="s">
        <v>192</v>
      </c>
    </row>
    <row r="102" spans="1:17" x14ac:dyDescent="0.35">
      <c r="A102" s="934" t="s">
        <v>63</v>
      </c>
      <c r="B102" s="935">
        <f>B100+B101</f>
        <v>855631</v>
      </c>
      <c r="C102" s="935">
        <f t="shared" ref="C102:P102" si="69">C100+C101</f>
        <v>477319.10000000009</v>
      </c>
      <c r="D102" s="936">
        <f t="shared" si="69"/>
        <v>647622.80497911922</v>
      </c>
      <c r="E102" s="937">
        <f t="shared" si="69"/>
        <v>828772.13542093267</v>
      </c>
      <c r="F102" s="937">
        <f t="shared" si="69"/>
        <v>1279231.8009048449</v>
      </c>
      <c r="G102" s="937">
        <f t="shared" si="69"/>
        <v>1349248.2901123501</v>
      </c>
      <c r="H102" s="937">
        <f t="shared" si="69"/>
        <v>1377651.0726780412</v>
      </c>
      <c r="I102" s="937">
        <f t="shared" si="69"/>
        <v>1442038.3310215208</v>
      </c>
      <c r="J102" s="937">
        <f t="shared" si="69"/>
        <v>1470526.8455622862</v>
      </c>
      <c r="K102" s="937">
        <f t="shared" si="69"/>
        <v>1502239.5859661167</v>
      </c>
      <c r="L102" s="937">
        <f t="shared" si="69"/>
        <v>1533609.2564947382</v>
      </c>
      <c r="M102" s="937">
        <f t="shared" si="69"/>
        <v>1569721.1322721499</v>
      </c>
      <c r="N102" s="937">
        <f t="shared" si="69"/>
        <v>1615789.0093329633</v>
      </c>
      <c r="O102" s="937">
        <f t="shared" si="69"/>
        <v>1662124.7132506152</v>
      </c>
      <c r="P102" s="937">
        <f t="shared" si="69"/>
        <v>1645402.875608597</v>
      </c>
    </row>
    <row r="103" spans="1:17" s="932" customFormat="1" x14ac:dyDescent="0.35">
      <c r="A103" s="924" t="s">
        <v>941</v>
      </c>
      <c r="B103" s="925">
        <f>-2037496.22</f>
        <v>-2037496.22</v>
      </c>
      <c r="C103" s="925">
        <f>-C37+C36+B37</f>
        <v>-2616756.1299999971</v>
      </c>
      <c r="D103" s="926">
        <f>-Fin!N6</f>
        <v>-420000</v>
      </c>
      <c r="E103" s="927">
        <f>-SUM('Inv-amort'!F$32:F$34,'Inv-amort'!F$39:F$41)</f>
        <v>-419087.5</v>
      </c>
      <c r="F103" s="927">
        <f>-SUM('Inv-amort'!G$32:G$34,'Inv-amort'!G$39:G$41)</f>
        <v>-646392.899875</v>
      </c>
      <c r="G103" s="927">
        <f>-SUM('Inv-amort'!H$32:H$34,'Inv-amort'!H$39:H$41)</f>
        <v>-670609.13125407498</v>
      </c>
      <c r="H103" s="927">
        <f>-SUM('Inv-amort'!I$32:I$34,'Inv-amort'!I$39:I$41)</f>
        <v>-652634.1389641033</v>
      </c>
      <c r="I103" s="927">
        <f>-SUM('Inv-amort'!J$32:J$34,'Inv-amort'!J$39:J$41)</f>
        <v>-877747.12069970125</v>
      </c>
      <c r="J103" s="927">
        <f>-SUM('Inv-amort'!K$32:K$34,'Inv-amort'!K$39:K$41)</f>
        <v>-895302.06311369524</v>
      </c>
      <c r="K103" s="927">
        <f>-SUM('Inv-amort'!L$32:L$34,'Inv-amort'!L$39:L$41)</f>
        <v>-913208.10437596927</v>
      </c>
      <c r="L103" s="927">
        <f>-SUM('Inv-amort'!M$32:M$34,'Inv-amort'!M$39:M$41)</f>
        <v>-931472.26646348869</v>
      </c>
      <c r="M103" s="927">
        <f>-SUM('Inv-amort'!N$32:N$34,'Inv-amort'!N$39:N$41)</f>
        <v>-950101.71179275843</v>
      </c>
      <c r="N103" s="927">
        <f>-SUM('Inv-amort'!O$32:O$34,'Inv-amort'!O$39:O$41)</f>
        <v>-969103.74602861365</v>
      </c>
      <c r="O103" s="927">
        <f>-SUM('Inv-amort'!P$32:P$34,'Inv-amort'!P$39:P$41)</f>
        <v>-988485.82094918587</v>
      </c>
      <c r="P103" s="927">
        <f>-SUM('Inv-amort'!Q$32:Q$34,'Inv-amort'!Q$39:Q$41)</f>
        <v>-1008255.5373681698</v>
      </c>
      <c r="Q103" s="813"/>
    </row>
    <row r="104" spans="1:17" s="932" customFormat="1" x14ac:dyDescent="0.35">
      <c r="A104" s="924" t="s">
        <v>942</v>
      </c>
      <c r="B104" s="925"/>
      <c r="C104" s="925"/>
      <c r="D104" s="926"/>
      <c r="E104" s="927">
        <f>-'Inv-amort'!F25</f>
        <v>0</v>
      </c>
      <c r="F104" s="927">
        <f>-'Inv-amort'!G25</f>
        <v>0</v>
      </c>
      <c r="G104" s="927">
        <f>-'Inv-amort'!H25</f>
        <v>0</v>
      </c>
      <c r="H104" s="927">
        <f>-'Inv-amort'!I25</f>
        <v>-443126.42099011986</v>
      </c>
      <c r="I104" s="927">
        <f>-'Inv-amort'!J25</f>
        <v>0</v>
      </c>
      <c r="J104" s="927">
        <f>-'Inv-amort'!K25</f>
        <v>0</v>
      </c>
      <c r="K104" s="927">
        <f>-'Inv-amort'!L25</f>
        <v>0</v>
      </c>
      <c r="L104" s="927">
        <f>-'Inv-amort'!M25</f>
        <v>0</v>
      </c>
      <c r="M104" s="927">
        <f>-'Inv-amort'!N25</f>
        <v>0</v>
      </c>
      <c r="N104" s="927">
        <f>-'Inv-amort'!O25</f>
        <v>0</v>
      </c>
      <c r="O104" s="927">
        <f>-'Inv-amort'!P25</f>
        <v>0</v>
      </c>
      <c r="P104" s="927">
        <f>-'Inv-amort'!Q25</f>
        <v>0</v>
      </c>
      <c r="Q104" s="813"/>
    </row>
    <row r="105" spans="1:17" s="799" customFormat="1" x14ac:dyDescent="0.35">
      <c r="A105" s="934" t="s">
        <v>64</v>
      </c>
      <c r="B105" s="935">
        <f>SUM(B103:B104)</f>
        <v>-2037496.22</v>
      </c>
      <c r="C105" s="935">
        <f t="shared" ref="C105:P105" si="70">SUM(C103:C104)</f>
        <v>-2616756.1299999971</v>
      </c>
      <c r="D105" s="936">
        <f t="shared" si="70"/>
        <v>-420000</v>
      </c>
      <c r="E105" s="937">
        <f t="shared" si="70"/>
        <v>-419087.5</v>
      </c>
      <c r="F105" s="937">
        <f t="shared" si="70"/>
        <v>-646392.899875</v>
      </c>
      <c r="G105" s="937">
        <f t="shared" si="70"/>
        <v>-670609.13125407498</v>
      </c>
      <c r="H105" s="937">
        <f t="shared" si="70"/>
        <v>-1095760.5599542232</v>
      </c>
      <c r="I105" s="937">
        <f t="shared" si="70"/>
        <v>-877747.12069970125</v>
      </c>
      <c r="J105" s="937">
        <f t="shared" si="70"/>
        <v>-895302.06311369524</v>
      </c>
      <c r="K105" s="937">
        <f t="shared" si="70"/>
        <v>-913208.10437596927</v>
      </c>
      <c r="L105" s="937">
        <f t="shared" si="70"/>
        <v>-931472.26646348869</v>
      </c>
      <c r="M105" s="937">
        <f t="shared" si="70"/>
        <v>-950101.71179275843</v>
      </c>
      <c r="N105" s="937">
        <f t="shared" si="70"/>
        <v>-969103.74602861365</v>
      </c>
      <c r="O105" s="937">
        <f t="shared" si="70"/>
        <v>-988485.82094918587</v>
      </c>
      <c r="P105" s="937">
        <f t="shared" si="70"/>
        <v>-1008255.5373681698</v>
      </c>
      <c r="Q105" s="813" t="s">
        <v>939</v>
      </c>
    </row>
    <row r="106" spans="1:17" s="799" customFormat="1" x14ac:dyDescent="0.35">
      <c r="A106" s="924" t="s">
        <v>65</v>
      </c>
      <c r="B106" s="925">
        <f>Fin!D41</f>
        <v>960305.8823529412</v>
      </c>
      <c r="C106" s="925">
        <f>Fin!E41</f>
        <v>486747</v>
      </c>
      <c r="D106" s="926">
        <f>Fin!F41</f>
        <v>470000</v>
      </c>
      <c r="E106" s="927">
        <f>E133</f>
        <v>18280.176134995592</v>
      </c>
      <c r="F106" s="927">
        <f t="shared" ref="F106:P106" si="71">F133</f>
        <v>0</v>
      </c>
      <c r="G106" s="927">
        <f t="shared" si="71"/>
        <v>0</v>
      </c>
      <c r="H106" s="927">
        <f t="shared" si="71"/>
        <v>0</v>
      </c>
      <c r="I106" s="927">
        <f t="shared" si="71"/>
        <v>0</v>
      </c>
      <c r="J106" s="927">
        <f t="shared" si="71"/>
        <v>0</v>
      </c>
      <c r="K106" s="927">
        <f t="shared" si="71"/>
        <v>0</v>
      </c>
      <c r="L106" s="927">
        <f t="shared" si="71"/>
        <v>0</v>
      </c>
      <c r="M106" s="927">
        <f t="shared" si="71"/>
        <v>0</v>
      </c>
      <c r="N106" s="927">
        <f t="shared" si="71"/>
        <v>0</v>
      </c>
      <c r="O106" s="927">
        <f t="shared" si="71"/>
        <v>0</v>
      </c>
      <c r="P106" s="927">
        <f t="shared" si="71"/>
        <v>0</v>
      </c>
    </row>
    <row r="107" spans="1:17" s="799" customFormat="1" x14ac:dyDescent="0.35">
      <c r="A107" s="924" t="s">
        <v>66</v>
      </c>
      <c r="B107" s="925">
        <f t="shared" ref="B107:C107" si="72">-SUM(B125,B136)</f>
        <v>-98805.882352941175</v>
      </c>
      <c r="C107" s="925">
        <f t="shared" si="72"/>
        <v>-158825</v>
      </c>
      <c r="D107" s="926">
        <f t="shared" ref="D107:P107" si="73">-SUM(D125,D136)</f>
        <v>-191274.8</v>
      </c>
      <c r="E107" s="927">
        <f t="shared" si="73"/>
        <v>-238274.80000000002</v>
      </c>
      <c r="F107" s="927">
        <f t="shared" si="73"/>
        <v>-239084.98452884104</v>
      </c>
      <c r="G107" s="927">
        <f t="shared" si="73"/>
        <v>-239095.11183545156</v>
      </c>
      <c r="H107" s="927">
        <f t="shared" si="73"/>
        <v>-239105.36573339475</v>
      </c>
      <c r="I107" s="927">
        <f t="shared" si="73"/>
        <v>-239115.74780506219</v>
      </c>
      <c r="J107" s="927">
        <f t="shared" si="73"/>
        <v>-239126.25965262545</v>
      </c>
      <c r="K107" s="927">
        <f t="shared" si="73"/>
        <v>-239136.90289828327</v>
      </c>
      <c r="L107" s="927">
        <f t="shared" si="73"/>
        <v>-239147.67918451183</v>
      </c>
      <c r="M107" s="927">
        <f t="shared" si="73"/>
        <v>-239158.5901743182</v>
      </c>
      <c r="N107" s="927">
        <f t="shared" si="73"/>
        <v>-239169.63755149723</v>
      </c>
      <c r="O107" s="927">
        <f t="shared" si="73"/>
        <v>-192180.82302089094</v>
      </c>
      <c r="P107" s="927">
        <f t="shared" si="73"/>
        <v>-192192.1483086521</v>
      </c>
    </row>
    <row r="108" spans="1:17" s="799" customFormat="1" x14ac:dyDescent="0.35">
      <c r="A108" s="924" t="s">
        <v>67</v>
      </c>
      <c r="B108" s="925">
        <f t="shared" ref="B108:P108" si="74">-SUM(B127,B138)</f>
        <v>-20996.25</v>
      </c>
      <c r="C108" s="925">
        <f t="shared" si="74"/>
        <v>-47520.44</v>
      </c>
      <c r="D108" s="926">
        <f t="shared" si="74"/>
        <v>-103862.21639999999</v>
      </c>
      <c r="E108" s="927">
        <f t="shared" si="74"/>
        <v>-158990.36000000002</v>
      </c>
      <c r="F108" s="927">
        <f t="shared" si="74"/>
        <v>-155150.46024708732</v>
      </c>
      <c r="G108" s="927">
        <f t="shared" si="74"/>
        <v>-141937.89081571862</v>
      </c>
      <c r="H108" s="927">
        <f t="shared" si="74"/>
        <v>-128431.65193982622</v>
      </c>
      <c r="I108" s="927">
        <f t="shared" si="74"/>
        <v>-114765.42963027379</v>
      </c>
      <c r="J108" s="927">
        <f t="shared" si="74"/>
        <v>-101832.40156182041</v>
      </c>
      <c r="K108" s="927">
        <f t="shared" si="74"/>
        <v>-89603.149447957767</v>
      </c>
      <c r="L108" s="927">
        <f t="shared" si="74"/>
        <v>-77372.621266755959</v>
      </c>
      <c r="M108" s="927">
        <f t="shared" si="74"/>
        <v>-65140.762785353087</v>
      </c>
      <c r="N108" s="927">
        <f t="shared" si="74"/>
        <v>-52907.51746599059</v>
      </c>
      <c r="O108" s="927">
        <f t="shared" si="74"/>
        <v>-40672.826368055175</v>
      </c>
      <c r="P108" s="927">
        <f t="shared" si="74"/>
        <v>-30593.928045957509</v>
      </c>
    </row>
    <row r="109" spans="1:17" s="799" customFormat="1" hidden="1" x14ac:dyDescent="0.35">
      <c r="A109" s="924" t="s">
        <v>940</v>
      </c>
      <c r="B109" s="925">
        <v>650000</v>
      </c>
      <c r="C109" s="925">
        <v>410200</v>
      </c>
      <c r="D109" s="926"/>
      <c r="E109" s="927"/>
      <c r="F109" s="927"/>
      <c r="G109" s="927"/>
      <c r="H109" s="927"/>
      <c r="I109" s="927"/>
      <c r="J109" s="927"/>
      <c r="K109" s="927"/>
      <c r="L109" s="927"/>
      <c r="M109" s="927"/>
      <c r="N109" s="927"/>
      <c r="O109" s="927"/>
      <c r="P109" s="927"/>
    </row>
    <row r="110" spans="1:17" s="799" customFormat="1" x14ac:dyDescent="0.35">
      <c r="A110" s="934" t="s">
        <v>68</v>
      </c>
      <c r="B110" s="935">
        <f t="shared" ref="B110:P110" si="75">SUM(B106:B109)</f>
        <v>1490503.75</v>
      </c>
      <c r="C110" s="935">
        <f t="shared" si="75"/>
        <v>690601.56</v>
      </c>
      <c r="D110" s="936">
        <f t="shared" si="75"/>
        <v>174862.98360000004</v>
      </c>
      <c r="E110" s="937">
        <f t="shared" si="75"/>
        <v>-378984.98386500444</v>
      </c>
      <c r="F110" s="937">
        <f t="shared" si="75"/>
        <v>-394235.44477592839</v>
      </c>
      <c r="G110" s="937">
        <f t="shared" si="75"/>
        <v>-381033.00265117019</v>
      </c>
      <c r="H110" s="937">
        <f t="shared" si="75"/>
        <v>-367537.01767322095</v>
      </c>
      <c r="I110" s="937">
        <f t="shared" si="75"/>
        <v>-353881.17743533599</v>
      </c>
      <c r="J110" s="937">
        <f t="shared" si="75"/>
        <v>-340958.66121444583</v>
      </c>
      <c r="K110" s="937">
        <f t="shared" si="75"/>
        <v>-328740.05234624102</v>
      </c>
      <c r="L110" s="937">
        <f t="shared" si="75"/>
        <v>-316520.3004512678</v>
      </c>
      <c r="M110" s="937">
        <f t="shared" si="75"/>
        <v>-304299.35295967129</v>
      </c>
      <c r="N110" s="937">
        <f t="shared" si="75"/>
        <v>-292077.15501748782</v>
      </c>
      <c r="O110" s="937">
        <f t="shared" si="75"/>
        <v>-232853.64938894613</v>
      </c>
      <c r="P110" s="937">
        <f t="shared" si="75"/>
        <v>-222786.07635460963</v>
      </c>
    </row>
    <row r="111" spans="1:17" s="799" customFormat="1" x14ac:dyDescent="0.35">
      <c r="A111" s="924" t="s">
        <v>69</v>
      </c>
      <c r="B111" s="925">
        <f>452972*Fin!D3/Fin!D2</f>
        <v>197846.30836505862</v>
      </c>
      <c r="C111" s="925">
        <f>B113</f>
        <v>506484.83836505865</v>
      </c>
      <c r="D111" s="926">
        <f>C113</f>
        <v>1000</v>
      </c>
      <c r="E111" s="927">
        <f>D113</f>
        <v>403485.78857911925</v>
      </c>
      <c r="F111" s="927">
        <f t="shared" ref="F111:P111" si="76">E113</f>
        <v>434185.44013504748</v>
      </c>
      <c r="G111" s="927">
        <f t="shared" si="76"/>
        <v>672788.89638896403</v>
      </c>
      <c r="H111" s="927">
        <f t="shared" si="76"/>
        <v>970395.05259606894</v>
      </c>
      <c r="I111" s="927">
        <f t="shared" si="76"/>
        <v>884748.54764666595</v>
      </c>
      <c r="J111" s="927">
        <f t="shared" si="76"/>
        <v>1095158.5805331494</v>
      </c>
      <c r="K111" s="927">
        <f t="shared" si="76"/>
        <v>1329424.7017672947</v>
      </c>
      <c r="L111" s="927">
        <f t="shared" si="76"/>
        <v>1589716.1310112011</v>
      </c>
      <c r="M111" s="927">
        <f t="shared" si="76"/>
        <v>1875332.8205911827</v>
      </c>
      <c r="N111" s="927">
        <f t="shared" si="76"/>
        <v>2190652.8881109031</v>
      </c>
      <c r="O111" s="927">
        <f t="shared" si="76"/>
        <v>2545260.9963977649</v>
      </c>
      <c r="P111" s="927">
        <f t="shared" si="76"/>
        <v>2986046.2393102478</v>
      </c>
    </row>
    <row r="112" spans="1:17" s="799" customFormat="1" x14ac:dyDescent="0.35">
      <c r="A112" s="924" t="s">
        <v>70</v>
      </c>
      <c r="B112" s="925">
        <f t="shared" ref="B112:P112" si="77">B102+B105+B110</f>
        <v>308638.53000000003</v>
      </c>
      <c r="C112" s="925">
        <f t="shared" si="77"/>
        <v>-1448835.4699999969</v>
      </c>
      <c r="D112" s="926">
        <f t="shared" si="77"/>
        <v>402485.78857911925</v>
      </c>
      <c r="E112" s="927">
        <f t="shared" si="77"/>
        <v>30699.651555928227</v>
      </c>
      <c r="F112" s="927">
        <f t="shared" si="77"/>
        <v>238603.45625391649</v>
      </c>
      <c r="G112" s="927">
        <f t="shared" si="77"/>
        <v>297606.15620710497</v>
      </c>
      <c r="H112" s="927">
        <f t="shared" si="77"/>
        <v>-85646.504949402995</v>
      </c>
      <c r="I112" s="927">
        <f t="shared" si="77"/>
        <v>210410.03288648353</v>
      </c>
      <c r="J112" s="927">
        <f t="shared" si="77"/>
        <v>234266.12123414513</v>
      </c>
      <c r="K112" s="927">
        <f t="shared" si="77"/>
        <v>260291.42924390646</v>
      </c>
      <c r="L112" s="927">
        <f t="shared" si="77"/>
        <v>285616.68957998167</v>
      </c>
      <c r="M112" s="927">
        <f t="shared" si="77"/>
        <v>315320.06751972018</v>
      </c>
      <c r="N112" s="927">
        <f t="shared" si="77"/>
        <v>354608.1082868618</v>
      </c>
      <c r="O112" s="927">
        <f t="shared" si="77"/>
        <v>440785.24291248317</v>
      </c>
      <c r="P112" s="927">
        <f t="shared" si="77"/>
        <v>414361.26188581757</v>
      </c>
    </row>
    <row r="113" spans="1:16" s="941" customFormat="1" x14ac:dyDescent="0.35">
      <c r="A113" s="907" t="s">
        <v>199</v>
      </c>
      <c r="B113" s="938">
        <f t="shared" ref="B113" si="78">B111+B112</f>
        <v>506484.83836505865</v>
      </c>
      <c r="C113" s="939">
        <v>1000</v>
      </c>
      <c r="D113" s="939">
        <f>D111+D112</f>
        <v>403485.78857911925</v>
      </c>
      <c r="E113" s="940">
        <f>E111+E112</f>
        <v>434185.44013504748</v>
      </c>
      <c r="F113" s="940">
        <f t="shared" ref="F113:P113" si="79">F111+F112</f>
        <v>672788.89638896403</v>
      </c>
      <c r="G113" s="940">
        <f t="shared" si="79"/>
        <v>970395.05259606894</v>
      </c>
      <c r="H113" s="940">
        <f t="shared" si="79"/>
        <v>884748.54764666595</v>
      </c>
      <c r="I113" s="940">
        <f t="shared" si="79"/>
        <v>1095158.5805331494</v>
      </c>
      <c r="J113" s="940">
        <f t="shared" si="79"/>
        <v>1329424.7017672947</v>
      </c>
      <c r="K113" s="940">
        <f t="shared" si="79"/>
        <v>1589716.1310112011</v>
      </c>
      <c r="L113" s="940">
        <f t="shared" si="79"/>
        <v>1875332.8205911827</v>
      </c>
      <c r="M113" s="940">
        <f t="shared" si="79"/>
        <v>2190652.8881109031</v>
      </c>
      <c r="N113" s="940">
        <f t="shared" si="79"/>
        <v>2545260.9963977649</v>
      </c>
      <c r="O113" s="940">
        <f t="shared" si="79"/>
        <v>2986046.2393102478</v>
      </c>
      <c r="P113" s="940">
        <f t="shared" si="79"/>
        <v>3400407.5011960655</v>
      </c>
    </row>
    <row r="114" spans="1:16" s="941" customFormat="1" x14ac:dyDescent="0.35">
      <c r="B114" s="942"/>
      <c r="C114" s="942"/>
      <c r="D114" s="943"/>
      <c r="E114" s="944"/>
      <c r="F114" s="944"/>
      <c r="G114" s="944"/>
      <c r="H114" s="944"/>
      <c r="I114" s="944"/>
      <c r="J114" s="944"/>
      <c r="K114" s="944"/>
      <c r="L114" s="944"/>
      <c r="M114" s="944"/>
      <c r="N114" s="944"/>
      <c r="O114" s="944"/>
      <c r="P114" s="944"/>
    </row>
    <row r="115" spans="1:16" s="941" customFormat="1" x14ac:dyDescent="0.35">
      <c r="A115" s="879" t="s">
        <v>216</v>
      </c>
      <c r="B115" s="879"/>
      <c r="C115" s="879"/>
      <c r="D115" s="945">
        <f t="shared" ref="D115:P115" si="80">D100+D101+D108-D48</f>
        <v>183748.58857911918</v>
      </c>
      <c r="E115" s="945">
        <f t="shared" si="80"/>
        <v>283158.85875426605</v>
      </c>
      <c r="F115" s="945">
        <f t="shared" si="80"/>
        <v>708701.49794359086</v>
      </c>
      <c r="G115" s="945">
        <f t="shared" si="80"/>
        <v>751322.15264781681</v>
      </c>
      <c r="H115" s="945">
        <f t="shared" si="80"/>
        <v>769828.77256609872</v>
      </c>
      <c r="I115" s="945">
        <f t="shared" si="80"/>
        <v>824954.53279311326</v>
      </c>
      <c r="J115" s="945">
        <f t="shared" si="80"/>
        <v>842989.80056779389</v>
      </c>
      <c r="K115" s="945">
        <f t="shared" si="80"/>
        <v>863077.79275425826</v>
      </c>
      <c r="L115" s="945">
        <f t="shared" si="80"/>
        <v>882346.91112622805</v>
      </c>
      <c r="M115" s="945">
        <f t="shared" si="80"/>
        <v>905872.94344043243</v>
      </c>
      <c r="N115" s="945">
        <f t="shared" si="80"/>
        <v>938860.00983710564</v>
      </c>
      <c r="O115" s="945">
        <f t="shared" si="80"/>
        <v>971610.06774952018</v>
      </c>
      <c r="P115" s="945">
        <f t="shared" si="80"/>
        <v>938630.38458436332</v>
      </c>
    </row>
    <row r="116" spans="1:16" x14ac:dyDescent="0.35">
      <c r="A116" s="879" t="s">
        <v>217</v>
      </c>
      <c r="B116" s="879"/>
      <c r="C116" s="879"/>
      <c r="D116" s="945">
        <f t="shared" ref="D116:P116" si="81">D56</f>
        <v>640727.81196200009</v>
      </c>
      <c r="E116" s="945">
        <f t="shared" si="81"/>
        <v>638473.99103100738</v>
      </c>
      <c r="F116" s="945">
        <f t="shared" si="81"/>
        <v>647977.08469990571</v>
      </c>
      <c r="G116" s="945">
        <f t="shared" si="81"/>
        <v>663683.7534692972</v>
      </c>
      <c r="H116" s="945">
        <f t="shared" si="81"/>
        <v>677440.62454613042</v>
      </c>
      <c r="I116" s="945">
        <f t="shared" si="81"/>
        <v>695658.89690594433</v>
      </c>
      <c r="J116" s="945">
        <f t="shared" si="81"/>
        <v>719487.00168932648</v>
      </c>
      <c r="K116" s="945">
        <f t="shared" si="81"/>
        <v>742821.06379378552</v>
      </c>
      <c r="L116" s="945">
        <f t="shared" si="81"/>
        <v>765749.66703262087</v>
      </c>
      <c r="M116" s="945">
        <f t="shared" si="81"/>
        <v>788330.71533762687</v>
      </c>
      <c r="N116" s="945">
        <f t="shared" si="81"/>
        <v>810533.07244877936</v>
      </c>
      <c r="O116" s="945">
        <f t="shared" si="81"/>
        <v>832356.16779027134</v>
      </c>
      <c r="P116" s="945">
        <f t="shared" si="81"/>
        <v>853792.92205128889</v>
      </c>
    </row>
    <row r="117" spans="1:16" s="879" customFormat="1" x14ac:dyDescent="0.35">
      <c r="A117" s="879" t="s">
        <v>71</v>
      </c>
      <c r="D117" s="945">
        <f t="shared" ref="D117:P117" si="82">D102</f>
        <v>647622.80497911922</v>
      </c>
      <c r="E117" s="945">
        <f t="shared" si="82"/>
        <v>828772.13542093267</v>
      </c>
      <c r="F117" s="945">
        <f t="shared" si="82"/>
        <v>1279231.8009048449</v>
      </c>
      <c r="G117" s="945">
        <f t="shared" si="82"/>
        <v>1349248.2901123501</v>
      </c>
      <c r="H117" s="945">
        <f t="shared" si="82"/>
        <v>1377651.0726780412</v>
      </c>
      <c r="I117" s="945">
        <f t="shared" si="82"/>
        <v>1442038.3310215208</v>
      </c>
      <c r="J117" s="945">
        <f t="shared" si="82"/>
        <v>1470526.8455622862</v>
      </c>
      <c r="K117" s="945">
        <f t="shared" si="82"/>
        <v>1502239.5859661167</v>
      </c>
      <c r="L117" s="945">
        <f t="shared" si="82"/>
        <v>1533609.2564947382</v>
      </c>
      <c r="M117" s="945">
        <f t="shared" si="82"/>
        <v>1569721.1322721499</v>
      </c>
      <c r="N117" s="945">
        <f t="shared" si="82"/>
        <v>1615789.0093329633</v>
      </c>
      <c r="O117" s="945">
        <f t="shared" si="82"/>
        <v>1662124.7132506152</v>
      </c>
      <c r="P117" s="945">
        <f t="shared" si="82"/>
        <v>1645402.875608597</v>
      </c>
    </row>
    <row r="118" spans="1:16" s="879" customFormat="1" x14ac:dyDescent="0.35">
      <c r="A118" s="879" t="s">
        <v>72</v>
      </c>
      <c r="D118" s="946">
        <f t="shared" ref="D118:P118" si="83">IF(D107=0,"",D117/(-D107-D108))</f>
        <v>2.194312366773385</v>
      </c>
      <c r="E118" s="946">
        <f t="shared" si="83"/>
        <v>2.0861938545553116</v>
      </c>
      <c r="F118" s="946">
        <f t="shared" si="83"/>
        <v>3.2448421821430133</v>
      </c>
      <c r="G118" s="946">
        <f t="shared" si="83"/>
        <v>3.5410273669852321</v>
      </c>
      <c r="H118" s="946">
        <f t="shared" si="83"/>
        <v>3.748332838416069</v>
      </c>
      <c r="I118" s="946">
        <f t="shared" si="83"/>
        <v>4.0749223834743837</v>
      </c>
      <c r="J118" s="946">
        <f t="shared" si="83"/>
        <v>4.3129182884648847</v>
      </c>
      <c r="K118" s="946">
        <f t="shared" si="83"/>
        <v>4.5696883456838515</v>
      </c>
      <c r="L118" s="946">
        <f t="shared" si="83"/>
        <v>4.8452161024371838</v>
      </c>
      <c r="M118" s="946">
        <f t="shared" si="83"/>
        <v>5.1584767335347719</v>
      </c>
      <c r="N118" s="946">
        <f t="shared" si="83"/>
        <v>5.5320622704511742</v>
      </c>
      <c r="O118" s="946">
        <f t="shared" si="83"/>
        <v>7.1380659809814366</v>
      </c>
      <c r="P118" s="946">
        <f t="shared" si="83"/>
        <v>7.3855732033702211</v>
      </c>
    </row>
    <row r="119" spans="1:16" x14ac:dyDescent="0.35">
      <c r="A119" s="879" t="s">
        <v>61</v>
      </c>
      <c r="B119" s="879"/>
      <c r="C119" s="879"/>
      <c r="D119" s="945">
        <f t="shared" ref="D119:P119" si="84">2/12*D96</f>
        <v>318935.38338760368</v>
      </c>
      <c r="E119" s="945">
        <f t="shared" si="84"/>
        <v>434185.44013504736</v>
      </c>
      <c r="F119" s="945">
        <f t="shared" si="84"/>
        <v>534124.69712360855</v>
      </c>
      <c r="G119" s="945">
        <f t="shared" si="84"/>
        <v>570198.07277608174</v>
      </c>
      <c r="H119" s="945">
        <f t="shared" si="84"/>
        <v>591823.00907713373</v>
      </c>
      <c r="I119" s="945">
        <f t="shared" si="84"/>
        <v>603278.03938616125</v>
      </c>
      <c r="J119" s="945">
        <f t="shared" si="84"/>
        <v>619578.65609708393</v>
      </c>
      <c r="K119" s="945">
        <f t="shared" si="84"/>
        <v>636714.46536023321</v>
      </c>
      <c r="L119" s="945">
        <f t="shared" si="84"/>
        <v>654102.22766814707</v>
      </c>
      <c r="M119" s="945">
        <f t="shared" si="84"/>
        <v>672603.09067589743</v>
      </c>
      <c r="N119" s="945">
        <f t="shared" si="84"/>
        <v>693098.31805199932</v>
      </c>
      <c r="O119" s="945">
        <f t="shared" si="84"/>
        <v>713993.2480738936</v>
      </c>
      <c r="P119" s="945">
        <f t="shared" si="84"/>
        <v>735301.17331712414</v>
      </c>
    </row>
    <row r="121" spans="1:16" x14ac:dyDescent="0.35">
      <c r="A121" s="947"/>
      <c r="B121" s="947"/>
      <c r="C121" s="947"/>
      <c r="D121" s="947">
        <f t="shared" ref="D121:P121" si="85">D2</f>
        <v>2023</v>
      </c>
      <c r="E121" s="947">
        <f t="shared" si="85"/>
        <v>2024</v>
      </c>
      <c r="F121" s="947">
        <f t="shared" si="85"/>
        <v>2025</v>
      </c>
      <c r="G121" s="947">
        <f t="shared" si="85"/>
        <v>2026</v>
      </c>
      <c r="H121" s="947">
        <f t="shared" si="85"/>
        <v>2027</v>
      </c>
      <c r="I121" s="947">
        <f t="shared" si="85"/>
        <v>2028</v>
      </c>
      <c r="J121" s="947">
        <f t="shared" si="85"/>
        <v>2029</v>
      </c>
      <c r="K121" s="947">
        <f t="shared" si="85"/>
        <v>2030</v>
      </c>
      <c r="L121" s="947">
        <f t="shared" si="85"/>
        <v>2031</v>
      </c>
      <c r="M121" s="947">
        <f t="shared" si="85"/>
        <v>2032</v>
      </c>
      <c r="N121" s="947">
        <f t="shared" si="85"/>
        <v>2033</v>
      </c>
      <c r="O121" s="947">
        <f t="shared" si="85"/>
        <v>2034</v>
      </c>
      <c r="P121" s="947">
        <f t="shared" si="85"/>
        <v>2035</v>
      </c>
    </row>
    <row r="122" spans="1:16" x14ac:dyDescent="0.35">
      <c r="A122" s="848" t="s">
        <v>84</v>
      </c>
      <c r="B122" s="848"/>
      <c r="C122" s="848"/>
    </row>
    <row r="123" spans="1:16" x14ac:dyDescent="0.35">
      <c r="A123" s="948" t="s">
        <v>85</v>
      </c>
      <c r="B123" s="948"/>
      <c r="C123" s="949"/>
      <c r="D123" s="950"/>
      <c r="E123" s="950"/>
      <c r="F123" s="950"/>
      <c r="G123" s="950"/>
      <c r="H123" s="950"/>
      <c r="I123" s="950"/>
      <c r="J123" s="950"/>
      <c r="K123" s="950"/>
      <c r="L123" s="950"/>
      <c r="M123" s="950"/>
      <c r="N123" s="950"/>
      <c r="O123" s="950"/>
      <c r="P123" s="950"/>
    </row>
    <row r="124" spans="1:16" s="954" customFormat="1" x14ac:dyDescent="0.35">
      <c r="A124" s="951" t="s">
        <v>86</v>
      </c>
      <c r="B124" s="952">
        <f>Fin!D42</f>
        <v>1679700</v>
      </c>
      <c r="C124" s="952">
        <f>Fin!E42</f>
        <v>2541200</v>
      </c>
      <c r="D124" s="953">
        <f>Fin!F42</f>
        <v>2869122</v>
      </c>
      <c r="E124" s="953">
        <f>Fin!G42</f>
        <v>3147847.2</v>
      </c>
      <c r="F124" s="953">
        <f>Fin!H42</f>
        <v>2909572.4000000004</v>
      </c>
      <c r="G124" s="953">
        <f>Fin!I42</f>
        <v>2671297.6000000006</v>
      </c>
      <c r="H124" s="953">
        <f>Fin!J42</f>
        <v>2433022.8000000007</v>
      </c>
      <c r="I124" s="953">
        <f>Fin!K42</f>
        <v>2194748.0000000009</v>
      </c>
      <c r="J124" s="953">
        <f>Fin!L42</f>
        <v>1956473.2000000007</v>
      </c>
      <c r="K124" s="953">
        <f>Fin!M42</f>
        <v>1718198.4000000006</v>
      </c>
      <c r="L124" s="953">
        <f>Fin!N42</f>
        <v>1479923.6000000006</v>
      </c>
      <c r="M124" s="953">
        <f>Fin!O42</f>
        <v>1241648.8000000005</v>
      </c>
      <c r="N124" s="953">
        <f>Fin!P42</f>
        <v>1003374.0000000005</v>
      </c>
      <c r="O124" s="953">
        <f>Fin!Q42</f>
        <v>765099.20000000042</v>
      </c>
      <c r="P124" s="953">
        <f>Fin!R42</f>
        <v>573824.40000000037</v>
      </c>
    </row>
    <row r="125" spans="1:16" s="954" customFormat="1" x14ac:dyDescent="0.35">
      <c r="A125" s="861" t="s">
        <v>87</v>
      </c>
      <c r="B125" s="955">
        <f>Fin!D43</f>
        <v>98805.882352941175</v>
      </c>
      <c r="C125" s="955">
        <f>Fin!E43</f>
        <v>158825</v>
      </c>
      <c r="D125" s="956">
        <f>Fin!F43</f>
        <v>191274.8</v>
      </c>
      <c r="E125" s="956">
        <f>Fin!G43</f>
        <v>238274.80000000002</v>
      </c>
      <c r="F125" s="956">
        <f>Fin!H43</f>
        <v>238274.80000000002</v>
      </c>
      <c r="G125" s="956">
        <f>Fin!I43</f>
        <v>238274.80000000005</v>
      </c>
      <c r="H125" s="956">
        <f>Fin!J43</f>
        <v>238274.80000000008</v>
      </c>
      <c r="I125" s="956">
        <f>Fin!K43</f>
        <v>238274.80000000008</v>
      </c>
      <c r="J125" s="956">
        <f>Fin!L43</f>
        <v>238274.80000000008</v>
      </c>
      <c r="K125" s="956">
        <f>Fin!M43</f>
        <v>238274.80000000008</v>
      </c>
      <c r="L125" s="956">
        <f>Fin!N43</f>
        <v>238274.80000000008</v>
      </c>
      <c r="M125" s="956">
        <f>Fin!O43</f>
        <v>238274.80000000008</v>
      </c>
      <c r="N125" s="956">
        <f>Fin!P43</f>
        <v>238274.8000000001</v>
      </c>
      <c r="O125" s="956">
        <f>Fin!Q43</f>
        <v>191274.8000000001</v>
      </c>
      <c r="P125" s="956">
        <f>Fin!R43</f>
        <v>191274.80000000013</v>
      </c>
    </row>
    <row r="126" spans="1:16" s="954" customFormat="1" x14ac:dyDescent="0.35">
      <c r="A126" s="861" t="s">
        <v>88</v>
      </c>
      <c r="B126" s="955">
        <f>Fin!D44</f>
        <v>2541200</v>
      </c>
      <c r="C126" s="955">
        <f>Fin!E44</f>
        <v>2869122</v>
      </c>
      <c r="D126" s="956">
        <f>Fin!F44</f>
        <v>3147847.2</v>
      </c>
      <c r="E126" s="956">
        <f>Fin!G44</f>
        <v>2909572.4000000004</v>
      </c>
      <c r="F126" s="956">
        <f>Fin!H44</f>
        <v>2671297.6000000006</v>
      </c>
      <c r="G126" s="956">
        <f>Fin!I44</f>
        <v>2433022.8000000007</v>
      </c>
      <c r="H126" s="956">
        <f>Fin!J44</f>
        <v>2194748.0000000009</v>
      </c>
      <c r="I126" s="956">
        <f>Fin!K44</f>
        <v>1956473.2000000007</v>
      </c>
      <c r="J126" s="956">
        <f>Fin!L44</f>
        <v>1718198.4000000006</v>
      </c>
      <c r="K126" s="956">
        <f>Fin!M44</f>
        <v>1479923.6000000006</v>
      </c>
      <c r="L126" s="956">
        <f>Fin!N44</f>
        <v>1241648.8000000005</v>
      </c>
      <c r="M126" s="956">
        <f>Fin!O44</f>
        <v>1003374.0000000005</v>
      </c>
      <c r="N126" s="956">
        <f>Fin!P44</f>
        <v>765099.20000000042</v>
      </c>
      <c r="O126" s="956">
        <f>Fin!Q44</f>
        <v>573824.40000000037</v>
      </c>
      <c r="P126" s="956">
        <f>Fin!R44</f>
        <v>382549.60000000021</v>
      </c>
    </row>
    <row r="127" spans="1:16" s="960" customFormat="1" x14ac:dyDescent="0.35">
      <c r="A127" s="957" t="s">
        <v>89</v>
      </c>
      <c r="B127" s="834">
        <f>Fin!D45</f>
        <v>20996.25</v>
      </c>
      <c r="C127" s="958">
        <f>Fin!E45</f>
        <v>47520.44</v>
      </c>
      <c r="D127" s="959">
        <f>Fin!F45</f>
        <v>103862.21639999999</v>
      </c>
      <c r="E127" s="959">
        <f>Fin!G45</f>
        <v>158990.36000000002</v>
      </c>
      <c r="F127" s="959">
        <f>Fin!H45</f>
        <v>154190.75100000005</v>
      </c>
      <c r="G127" s="959">
        <f>Fin!I45</f>
        <v>141051.52400000003</v>
      </c>
      <c r="H127" s="959">
        <f>Fin!J45</f>
        <v>127618.54700000005</v>
      </c>
      <c r="I127" s="959">
        <f>Fin!K45</f>
        <v>114068.07000000005</v>
      </c>
      <c r="J127" s="959">
        <f>Fin!L45</f>
        <v>101163.84300000004</v>
      </c>
      <c r="K127" s="959">
        <f>Fin!M45</f>
        <v>88964.616000000038</v>
      </c>
      <c r="L127" s="959">
        <f>Fin!N45</f>
        <v>76765.389000000025</v>
      </c>
      <c r="M127" s="959">
        <f>Fin!O45</f>
        <v>64566.162000000033</v>
      </c>
      <c r="N127" s="959">
        <f>Fin!P45</f>
        <v>52366.935000000034</v>
      </c>
      <c r="O127" s="959">
        <f>Fin!Q45</f>
        <v>40167.708000000028</v>
      </c>
      <c r="P127" s="959">
        <f>Fin!R45</f>
        <v>30125.781000000021</v>
      </c>
    </row>
    <row r="128" spans="1:16" x14ac:dyDescent="0.35">
      <c r="A128" s="961"/>
      <c r="B128" s="961"/>
      <c r="C128" s="961"/>
      <c r="D128" s="962"/>
      <c r="E128" s="962"/>
      <c r="F128" s="962"/>
      <c r="G128" s="962"/>
      <c r="H128" s="962"/>
      <c r="I128" s="962"/>
      <c r="J128" s="962"/>
      <c r="K128" s="962"/>
      <c r="L128" s="962"/>
      <c r="M128" s="962"/>
      <c r="N128" s="962"/>
      <c r="O128" s="962"/>
      <c r="P128" s="962"/>
    </row>
    <row r="129" spans="1:17" x14ac:dyDescent="0.35">
      <c r="A129" s="822" t="s">
        <v>196</v>
      </c>
      <c r="B129" s="822"/>
      <c r="C129" s="949"/>
      <c r="D129" s="950"/>
      <c r="E129" s="950"/>
      <c r="F129" s="950"/>
      <c r="G129" s="950"/>
      <c r="H129" s="950"/>
      <c r="I129" s="950"/>
      <c r="J129" s="950"/>
      <c r="K129" s="950"/>
      <c r="L129" s="950"/>
      <c r="M129" s="950"/>
      <c r="N129" s="950"/>
      <c r="O129" s="950"/>
      <c r="P129" s="950"/>
    </row>
    <row r="130" spans="1:17" s="861" customFormat="1" x14ac:dyDescent="0.35">
      <c r="A130" s="951" t="s">
        <v>200</v>
      </c>
      <c r="B130" s="951"/>
      <c r="C130" s="951"/>
      <c r="D130" s="963"/>
      <c r="E130" s="963">
        <f t="shared" ref="E130:P130" si="86">ABS(E105)</f>
        <v>419087.5</v>
      </c>
      <c r="F130" s="963">
        <f t="shared" si="86"/>
        <v>646392.899875</v>
      </c>
      <c r="G130" s="963">
        <f t="shared" si="86"/>
        <v>670609.13125407498</v>
      </c>
      <c r="H130" s="963">
        <f t="shared" si="86"/>
        <v>1095760.5599542232</v>
      </c>
      <c r="I130" s="963">
        <f t="shared" si="86"/>
        <v>877747.12069970125</v>
      </c>
      <c r="J130" s="963">
        <f t="shared" si="86"/>
        <v>895302.06311369524</v>
      </c>
      <c r="K130" s="963">
        <f t="shared" si="86"/>
        <v>913208.10437596927</v>
      </c>
      <c r="L130" s="963">
        <f t="shared" si="86"/>
        <v>931472.26646348869</v>
      </c>
      <c r="M130" s="963">
        <f t="shared" si="86"/>
        <v>950101.71179275843</v>
      </c>
      <c r="N130" s="963">
        <f t="shared" si="86"/>
        <v>969103.74602861365</v>
      </c>
      <c r="O130" s="963">
        <f t="shared" si="86"/>
        <v>988485.82094918587</v>
      </c>
      <c r="P130" s="963">
        <f t="shared" si="86"/>
        <v>1008255.5373681698</v>
      </c>
      <c r="Q130" s="813" t="s">
        <v>202</v>
      </c>
    </row>
    <row r="131" spans="1:17" s="861" customFormat="1" x14ac:dyDescent="0.35">
      <c r="A131" s="861" t="s">
        <v>197</v>
      </c>
      <c r="D131" s="829"/>
      <c r="E131" s="829">
        <f t="shared" ref="E131:P131" si="87">$B$20*E130</f>
        <v>335270</v>
      </c>
      <c r="F131" s="829">
        <f t="shared" si="87"/>
        <v>517114.3199</v>
      </c>
      <c r="G131" s="829">
        <f t="shared" si="87"/>
        <v>536487.30500326003</v>
      </c>
      <c r="H131" s="829">
        <f t="shared" si="87"/>
        <v>876608.44796337862</v>
      </c>
      <c r="I131" s="829">
        <f t="shared" si="87"/>
        <v>702197.69655976107</v>
      </c>
      <c r="J131" s="829">
        <f t="shared" si="87"/>
        <v>716241.65049095626</v>
      </c>
      <c r="K131" s="829">
        <f t="shared" si="87"/>
        <v>730566.48350077542</v>
      </c>
      <c r="L131" s="829">
        <f t="shared" si="87"/>
        <v>745177.81317079102</v>
      </c>
      <c r="M131" s="829">
        <f t="shared" si="87"/>
        <v>760081.36943420675</v>
      </c>
      <c r="N131" s="829">
        <f t="shared" si="87"/>
        <v>775282.99682289094</v>
      </c>
      <c r="O131" s="829">
        <f t="shared" si="87"/>
        <v>790788.6567593487</v>
      </c>
      <c r="P131" s="829">
        <f t="shared" si="87"/>
        <v>806604.4298945358</v>
      </c>
      <c r="Q131" s="813"/>
    </row>
    <row r="132" spans="1:17" s="861" customFormat="1" x14ac:dyDescent="0.35">
      <c r="A132" s="861" t="s">
        <v>198</v>
      </c>
      <c r="D132" s="829"/>
      <c r="E132" s="829">
        <f t="shared" ref="E132:P132" si="88">IF(-(D113+E102+E105+E107+E108)&lt;-E119,0,-(D113+E102+E105+E107+E108)+E119)</f>
        <v>18280.176134995592</v>
      </c>
      <c r="F132" s="829">
        <f t="shared" si="88"/>
        <v>0</v>
      </c>
      <c r="G132" s="829">
        <f t="shared" si="88"/>
        <v>0</v>
      </c>
      <c r="H132" s="829">
        <f t="shared" si="88"/>
        <v>0</v>
      </c>
      <c r="I132" s="829">
        <f t="shared" si="88"/>
        <v>0</v>
      </c>
      <c r="J132" s="829">
        <f t="shared" si="88"/>
        <v>0</v>
      </c>
      <c r="K132" s="829">
        <f t="shared" si="88"/>
        <v>0</v>
      </c>
      <c r="L132" s="829">
        <f t="shared" si="88"/>
        <v>0</v>
      </c>
      <c r="M132" s="829">
        <f t="shared" si="88"/>
        <v>0</v>
      </c>
      <c r="N132" s="829">
        <f t="shared" si="88"/>
        <v>0</v>
      </c>
      <c r="O132" s="829">
        <f t="shared" si="88"/>
        <v>0</v>
      </c>
      <c r="P132" s="829">
        <f t="shared" si="88"/>
        <v>0</v>
      </c>
      <c r="Q132" s="813"/>
    </row>
    <row r="133" spans="1:17" s="792" customFormat="1" x14ac:dyDescent="0.35">
      <c r="A133" s="792" t="s">
        <v>90</v>
      </c>
      <c r="E133" s="944">
        <f>MIN(E131:E132)</f>
        <v>18280.176134995592</v>
      </c>
      <c r="F133" s="944">
        <f t="shared" ref="F133:P133" si="89">MIN(F131:F132)</f>
        <v>0</v>
      </c>
      <c r="G133" s="944">
        <f t="shared" si="89"/>
        <v>0</v>
      </c>
      <c r="H133" s="944">
        <f t="shared" si="89"/>
        <v>0</v>
      </c>
      <c r="I133" s="944">
        <f t="shared" si="89"/>
        <v>0</v>
      </c>
      <c r="J133" s="944">
        <f t="shared" si="89"/>
        <v>0</v>
      </c>
      <c r="K133" s="944">
        <f t="shared" si="89"/>
        <v>0</v>
      </c>
      <c r="L133" s="944">
        <f t="shared" si="89"/>
        <v>0</v>
      </c>
      <c r="M133" s="944">
        <f t="shared" si="89"/>
        <v>0</v>
      </c>
      <c r="N133" s="944">
        <f t="shared" si="89"/>
        <v>0</v>
      </c>
      <c r="O133" s="944">
        <f t="shared" si="89"/>
        <v>0</v>
      </c>
      <c r="P133" s="944">
        <f t="shared" si="89"/>
        <v>0</v>
      </c>
    </row>
    <row r="134" spans="1:17" s="954" customFormat="1" x14ac:dyDescent="0.35">
      <c r="E134" s="964"/>
      <c r="F134" s="965"/>
      <c r="G134" s="965"/>
      <c r="H134" s="965"/>
      <c r="I134" s="965"/>
      <c r="J134" s="965"/>
      <c r="K134" s="965"/>
      <c r="L134" s="965"/>
      <c r="M134" s="965"/>
      <c r="N134" s="965"/>
      <c r="O134" s="965"/>
      <c r="P134" s="965"/>
    </row>
    <row r="135" spans="1:17" s="969" customFormat="1" x14ac:dyDescent="0.35">
      <c r="A135" s="966" t="s">
        <v>86</v>
      </c>
      <c r="B135" s="966"/>
      <c r="C135" s="967"/>
      <c r="D135" s="968"/>
      <c r="E135" s="968"/>
      <c r="F135" s="968">
        <f>SUM(F140,F145,F150,F155,F160,F165,F170,F175,F180,F185,F190,F195)</f>
        <v>18280.176134995592</v>
      </c>
      <c r="G135" s="968">
        <f t="shared" ref="G135:P138" si="90">SUM(G140,G145,G150,G155,G160,G165,G170,G175,G180,G185,G190,G195)</f>
        <v>17469.991606154574</v>
      </c>
      <c r="H135" s="968">
        <f t="shared" si="90"/>
        <v>16649.679770703046</v>
      </c>
      <c r="I135" s="968">
        <f t="shared" si="90"/>
        <v>15819.114037308373</v>
      </c>
      <c r="J135" s="968">
        <f t="shared" si="90"/>
        <v>14978.166232246265</v>
      </c>
      <c r="K135" s="968">
        <f t="shared" si="90"/>
        <v>14126.706579620883</v>
      </c>
      <c r="L135" s="968">
        <f t="shared" si="90"/>
        <v>13264.603681337681</v>
      </c>
      <c r="M135" s="968">
        <f t="shared" si="90"/>
        <v>12391.72449682594</v>
      </c>
      <c r="N135" s="968">
        <f t="shared" si="90"/>
        <v>11507.934322507803</v>
      </c>
      <c r="O135" s="968">
        <f t="shared" si="90"/>
        <v>10613.096771010689</v>
      </c>
      <c r="P135" s="968">
        <f t="shared" si="90"/>
        <v>9707.0737501198601</v>
      </c>
    </row>
    <row r="136" spans="1:17" s="969" customFormat="1" x14ac:dyDescent="0.35">
      <c r="A136" s="970" t="s">
        <v>87</v>
      </c>
      <c r="B136" s="970"/>
      <c r="C136" s="971"/>
      <c r="D136" s="972"/>
      <c r="E136" s="972"/>
      <c r="F136" s="972">
        <f>SUM(F141,F146,F151,F156,F161,F166,F171,F176,F181,F186,F191,F196)</f>
        <v>810.1845288410168</v>
      </c>
      <c r="G136" s="972">
        <f t="shared" si="90"/>
        <v>820.3118354515293</v>
      </c>
      <c r="H136" s="972">
        <f t="shared" si="90"/>
        <v>830.56573339467343</v>
      </c>
      <c r="I136" s="972">
        <f t="shared" si="90"/>
        <v>840.94780506210691</v>
      </c>
      <c r="J136" s="972">
        <f t="shared" si="90"/>
        <v>851.45965262538323</v>
      </c>
      <c r="K136" s="972">
        <f t="shared" si="90"/>
        <v>862.1028982832006</v>
      </c>
      <c r="L136" s="972">
        <f t="shared" si="90"/>
        <v>872.8791845117405</v>
      </c>
      <c r="M136" s="972">
        <f t="shared" si="90"/>
        <v>883.79017431813725</v>
      </c>
      <c r="N136" s="972">
        <f t="shared" si="90"/>
        <v>894.83755149711396</v>
      </c>
      <c r="O136" s="972">
        <f t="shared" si="90"/>
        <v>906.02302089082787</v>
      </c>
      <c r="P136" s="972">
        <f t="shared" si="90"/>
        <v>917.34830865196329</v>
      </c>
    </row>
    <row r="137" spans="1:17" s="969" customFormat="1" x14ac:dyDescent="0.35">
      <c r="A137" s="970" t="s">
        <v>88</v>
      </c>
      <c r="B137" s="970"/>
      <c r="C137" s="971"/>
      <c r="D137" s="972"/>
      <c r="E137" s="972"/>
      <c r="F137" s="972">
        <f>SUM(F142,F147,F152,F157,F162,F167,F172,F177,F182,F187,F192,F197)</f>
        <v>17469.991606154574</v>
      </c>
      <c r="G137" s="972">
        <f t="shared" si="90"/>
        <v>16649.679770703046</v>
      </c>
      <c r="H137" s="972">
        <f t="shared" si="90"/>
        <v>15819.114037308373</v>
      </c>
      <c r="I137" s="972">
        <f t="shared" si="90"/>
        <v>14978.166232246265</v>
      </c>
      <c r="J137" s="972">
        <f t="shared" si="90"/>
        <v>14126.706579620883</v>
      </c>
      <c r="K137" s="972">
        <f t="shared" si="90"/>
        <v>13264.603681337681</v>
      </c>
      <c r="L137" s="972">
        <f t="shared" si="90"/>
        <v>12391.72449682594</v>
      </c>
      <c r="M137" s="972">
        <f t="shared" si="90"/>
        <v>11507.934322507803</v>
      </c>
      <c r="N137" s="972">
        <f t="shared" si="90"/>
        <v>10613.096771010689</v>
      </c>
      <c r="O137" s="972">
        <f t="shared" si="90"/>
        <v>9707.0737501198601</v>
      </c>
      <c r="P137" s="972">
        <f t="shared" si="90"/>
        <v>8789.7254414678973</v>
      </c>
    </row>
    <row r="138" spans="1:17" s="969" customFormat="1" x14ac:dyDescent="0.35">
      <c r="A138" s="973" t="s">
        <v>89</v>
      </c>
      <c r="B138" s="973"/>
      <c r="C138" s="974"/>
      <c r="D138" s="975"/>
      <c r="E138" s="975"/>
      <c r="F138" s="975">
        <f>SUM(F143,F148,F153,F158,F163,F168,F173,F178,F183,F188,F193,F198)</f>
        <v>959.70924708726864</v>
      </c>
      <c r="G138" s="975">
        <f t="shared" si="90"/>
        <v>886.36681571858958</v>
      </c>
      <c r="H138" s="975">
        <f t="shared" si="90"/>
        <v>813.10493982617425</v>
      </c>
      <c r="I138" s="975">
        <f t="shared" si="90"/>
        <v>697.35963027374294</v>
      </c>
      <c r="J138" s="975">
        <f t="shared" si="90"/>
        <v>668.55856182037269</v>
      </c>
      <c r="K138" s="975">
        <f t="shared" si="90"/>
        <v>638.5334479577341</v>
      </c>
      <c r="L138" s="975">
        <f t="shared" si="90"/>
        <v>607.23226675593332</v>
      </c>
      <c r="M138" s="975">
        <f t="shared" si="90"/>
        <v>574.60078535305593</v>
      </c>
      <c r="N138" s="975">
        <f t="shared" si="90"/>
        <v>540.58246599055622</v>
      </c>
      <c r="O138" s="975">
        <f t="shared" si="90"/>
        <v>505.11836805515037</v>
      </c>
      <c r="P138" s="975">
        <f t="shared" si="90"/>
        <v>468.14704595748975</v>
      </c>
    </row>
    <row r="139" spans="1:17" s="954" customFormat="1" x14ac:dyDescent="0.35">
      <c r="A139" s="976"/>
      <c r="B139" s="976"/>
      <c r="C139" s="977"/>
      <c r="D139" s="964"/>
      <c r="E139" s="964"/>
      <c r="F139" s="978"/>
      <c r="G139" s="978"/>
      <c r="H139" s="979"/>
      <c r="I139" s="979"/>
      <c r="J139" s="964"/>
      <c r="K139" s="964"/>
      <c r="L139" s="964"/>
      <c r="M139" s="964"/>
      <c r="N139" s="964"/>
      <c r="O139" s="964"/>
      <c r="P139" s="964"/>
    </row>
    <row r="140" spans="1:17" s="954" customFormat="1" hidden="1" outlineLevel="1" x14ac:dyDescent="0.35">
      <c r="A140" s="980" t="s">
        <v>86</v>
      </c>
      <c r="B140" s="980"/>
      <c r="C140" s="981">
        <v>1</v>
      </c>
      <c r="D140" s="982"/>
      <c r="E140" s="982"/>
      <c r="F140" s="983">
        <f>E$133</f>
        <v>18280.176134995592</v>
      </c>
      <c r="G140" s="983">
        <f>F142</f>
        <v>17469.991606154574</v>
      </c>
      <c r="H140" s="983">
        <f t="shared" ref="H140:P140" si="91">G142</f>
        <v>16649.679770703046</v>
      </c>
      <c r="I140" s="983">
        <f t="shared" si="91"/>
        <v>15819.114037308373</v>
      </c>
      <c r="J140" s="983">
        <f t="shared" si="91"/>
        <v>14978.166232246265</v>
      </c>
      <c r="K140" s="983">
        <f t="shared" si="91"/>
        <v>14126.706579620883</v>
      </c>
      <c r="L140" s="983">
        <f t="shared" si="91"/>
        <v>13264.603681337681</v>
      </c>
      <c r="M140" s="983">
        <f t="shared" si="91"/>
        <v>12391.72449682594</v>
      </c>
      <c r="N140" s="983">
        <f t="shared" si="91"/>
        <v>11507.934322507803</v>
      </c>
      <c r="O140" s="983">
        <f t="shared" si="91"/>
        <v>10613.096771010689</v>
      </c>
      <c r="P140" s="983">
        <f t="shared" si="91"/>
        <v>9707.0737501198601</v>
      </c>
    </row>
    <row r="141" spans="1:17" s="954" customFormat="1" hidden="1" outlineLevel="1" x14ac:dyDescent="0.35">
      <c r="A141" s="976" t="s">
        <v>87</v>
      </c>
      <c r="B141" s="976"/>
      <c r="C141" s="984"/>
      <c r="D141" s="964"/>
      <c r="E141" s="964"/>
      <c r="F141" s="978">
        <f t="shared" ref="F141:P141" si="92">IF((F$2-$E$2)&gt;$B$19,0,-PPMT($B$21,(F$2-$E$2),$B$19,$F140,0))</f>
        <v>810.1845288410168</v>
      </c>
      <c r="G141" s="978">
        <f t="shared" si="92"/>
        <v>820.3118354515293</v>
      </c>
      <c r="H141" s="978">
        <f t="shared" si="92"/>
        <v>830.56573339467343</v>
      </c>
      <c r="I141" s="978">
        <f t="shared" si="92"/>
        <v>840.94780506210691</v>
      </c>
      <c r="J141" s="978">
        <f t="shared" si="92"/>
        <v>851.45965262538323</v>
      </c>
      <c r="K141" s="978">
        <f t="shared" si="92"/>
        <v>862.1028982832006</v>
      </c>
      <c r="L141" s="978">
        <f t="shared" si="92"/>
        <v>872.8791845117405</v>
      </c>
      <c r="M141" s="978">
        <f t="shared" si="92"/>
        <v>883.79017431813725</v>
      </c>
      <c r="N141" s="978">
        <f t="shared" si="92"/>
        <v>894.83755149711396</v>
      </c>
      <c r="O141" s="978">
        <f t="shared" si="92"/>
        <v>906.02302089082787</v>
      </c>
      <c r="P141" s="978">
        <f t="shared" si="92"/>
        <v>917.34830865196329</v>
      </c>
    </row>
    <row r="142" spans="1:17" s="954" customFormat="1" hidden="1" outlineLevel="1" x14ac:dyDescent="0.35">
      <c r="A142" s="976" t="s">
        <v>88</v>
      </c>
      <c r="B142" s="976"/>
      <c r="C142" s="984"/>
      <c r="D142" s="964"/>
      <c r="E142" s="964"/>
      <c r="F142" s="978">
        <f>F140-F141</f>
        <v>17469.991606154574</v>
      </c>
      <c r="G142" s="978">
        <f>G140-G141</f>
        <v>16649.679770703046</v>
      </c>
      <c r="H142" s="978">
        <f t="shared" ref="H142:P142" si="93">H140-H141</f>
        <v>15819.114037308373</v>
      </c>
      <c r="I142" s="978">
        <f t="shared" si="93"/>
        <v>14978.166232246265</v>
      </c>
      <c r="J142" s="978">
        <f t="shared" si="93"/>
        <v>14126.706579620883</v>
      </c>
      <c r="K142" s="978">
        <f t="shared" si="93"/>
        <v>13264.603681337681</v>
      </c>
      <c r="L142" s="978">
        <f t="shared" si="93"/>
        <v>12391.72449682594</v>
      </c>
      <c r="M142" s="978">
        <f t="shared" si="93"/>
        <v>11507.934322507803</v>
      </c>
      <c r="N142" s="978">
        <f t="shared" si="93"/>
        <v>10613.096771010689</v>
      </c>
      <c r="O142" s="978">
        <f t="shared" si="93"/>
        <v>9707.0737501198601</v>
      </c>
      <c r="P142" s="978">
        <f t="shared" si="93"/>
        <v>8789.7254414678973</v>
      </c>
    </row>
    <row r="143" spans="1:17" s="954" customFormat="1" hidden="1" outlineLevel="1" x14ac:dyDescent="0.35">
      <c r="A143" s="985" t="s">
        <v>89</v>
      </c>
      <c r="B143" s="985"/>
      <c r="C143" s="986"/>
      <c r="D143" s="987"/>
      <c r="E143" s="987"/>
      <c r="F143" s="988">
        <f t="shared" ref="F143:P143" si="94">IF((F$2-$E$2)&gt;$B$19,0,-IPMT($B$21+F$7,(F$2-$E$2),$B$19,$F140,0))</f>
        <v>959.70924708726864</v>
      </c>
      <c r="G143" s="988">
        <f t="shared" si="94"/>
        <v>886.36681571858958</v>
      </c>
      <c r="H143" s="988">
        <f t="shared" si="94"/>
        <v>813.10493982617425</v>
      </c>
      <c r="I143" s="988">
        <f t="shared" si="94"/>
        <v>697.35963027374294</v>
      </c>
      <c r="J143" s="988">
        <f t="shared" si="94"/>
        <v>668.55856182037269</v>
      </c>
      <c r="K143" s="988">
        <f t="shared" si="94"/>
        <v>638.5334479577341</v>
      </c>
      <c r="L143" s="988">
        <f t="shared" si="94"/>
        <v>607.23226675593332</v>
      </c>
      <c r="M143" s="988">
        <f t="shared" si="94"/>
        <v>574.60078535305593</v>
      </c>
      <c r="N143" s="988">
        <f t="shared" si="94"/>
        <v>540.58246599055622</v>
      </c>
      <c r="O143" s="988">
        <f t="shared" si="94"/>
        <v>505.11836805515037</v>
      </c>
      <c r="P143" s="988">
        <f t="shared" si="94"/>
        <v>468.14704595748975</v>
      </c>
    </row>
    <row r="144" spans="1:17" s="954" customFormat="1" hidden="1" outlineLevel="1" x14ac:dyDescent="0.35">
      <c r="A144" s="976"/>
      <c r="B144" s="976"/>
      <c r="C144" s="984"/>
      <c r="D144" s="964"/>
      <c r="E144" s="964"/>
      <c r="F144" s="978"/>
      <c r="G144" s="978"/>
      <c r="H144" s="979"/>
      <c r="I144" s="979"/>
      <c r="J144" s="964"/>
      <c r="K144" s="964"/>
      <c r="L144" s="964"/>
      <c r="M144" s="964"/>
      <c r="N144" s="964"/>
      <c r="O144" s="964"/>
      <c r="P144" s="964"/>
    </row>
    <row r="145" spans="1:16" s="954" customFormat="1" hidden="1" outlineLevel="1" x14ac:dyDescent="0.35">
      <c r="A145" s="980" t="s">
        <v>86</v>
      </c>
      <c r="B145" s="980"/>
      <c r="C145" s="981">
        <v>2</v>
      </c>
      <c r="D145" s="982"/>
      <c r="E145" s="982"/>
      <c r="F145" s="983"/>
      <c r="G145" s="983">
        <f>F$133</f>
        <v>0</v>
      </c>
      <c r="H145" s="983">
        <f>G147</f>
        <v>0</v>
      </c>
      <c r="I145" s="983">
        <f t="shared" ref="I145:P145" si="95">H147</f>
        <v>0</v>
      </c>
      <c r="J145" s="983">
        <f t="shared" si="95"/>
        <v>0</v>
      </c>
      <c r="K145" s="983">
        <f t="shared" si="95"/>
        <v>0</v>
      </c>
      <c r="L145" s="983">
        <f t="shared" si="95"/>
        <v>0</v>
      </c>
      <c r="M145" s="983">
        <f t="shared" si="95"/>
        <v>0</v>
      </c>
      <c r="N145" s="983">
        <f t="shared" si="95"/>
        <v>0</v>
      </c>
      <c r="O145" s="983">
        <f t="shared" si="95"/>
        <v>0</v>
      </c>
      <c r="P145" s="983">
        <f t="shared" si="95"/>
        <v>0</v>
      </c>
    </row>
    <row r="146" spans="1:16" s="954" customFormat="1" hidden="1" outlineLevel="1" x14ac:dyDescent="0.35">
      <c r="A146" s="976" t="s">
        <v>87</v>
      </c>
      <c r="B146" s="976"/>
      <c r="C146" s="984"/>
      <c r="D146" s="964"/>
      <c r="E146" s="964"/>
      <c r="F146" s="978"/>
      <c r="G146" s="978">
        <f t="shared" ref="G146:P146" si="96">IF((G$2-$F$2)&gt;$B$19,0,-PPMT($B$21,(G$2-$F$2),$B$19,$G145,0))</f>
        <v>0</v>
      </c>
      <c r="H146" s="978">
        <f t="shared" si="96"/>
        <v>0</v>
      </c>
      <c r="I146" s="978">
        <f t="shared" si="96"/>
        <v>0</v>
      </c>
      <c r="J146" s="978">
        <f t="shared" si="96"/>
        <v>0</v>
      </c>
      <c r="K146" s="978">
        <f t="shared" si="96"/>
        <v>0</v>
      </c>
      <c r="L146" s="978">
        <f t="shared" si="96"/>
        <v>0</v>
      </c>
      <c r="M146" s="978">
        <f t="shared" si="96"/>
        <v>0</v>
      </c>
      <c r="N146" s="978">
        <f t="shared" si="96"/>
        <v>0</v>
      </c>
      <c r="O146" s="978">
        <f t="shared" si="96"/>
        <v>0</v>
      </c>
      <c r="P146" s="978">
        <f t="shared" si="96"/>
        <v>0</v>
      </c>
    </row>
    <row r="147" spans="1:16" s="954" customFormat="1" hidden="1" outlineLevel="1" x14ac:dyDescent="0.35">
      <c r="A147" s="976" t="s">
        <v>88</v>
      </c>
      <c r="B147" s="976"/>
      <c r="C147" s="984"/>
      <c r="D147" s="964"/>
      <c r="E147" s="964"/>
      <c r="F147" s="978"/>
      <c r="G147" s="978">
        <f>G145-G146</f>
        <v>0</v>
      </c>
      <c r="H147" s="978">
        <f t="shared" ref="H147:P147" si="97">H145-H146</f>
        <v>0</v>
      </c>
      <c r="I147" s="978">
        <f t="shared" si="97"/>
        <v>0</v>
      </c>
      <c r="J147" s="978">
        <f t="shared" si="97"/>
        <v>0</v>
      </c>
      <c r="K147" s="978">
        <f t="shared" si="97"/>
        <v>0</v>
      </c>
      <c r="L147" s="978">
        <f t="shared" si="97"/>
        <v>0</v>
      </c>
      <c r="M147" s="978">
        <f t="shared" si="97"/>
        <v>0</v>
      </c>
      <c r="N147" s="978">
        <f t="shared" si="97"/>
        <v>0</v>
      </c>
      <c r="O147" s="978">
        <f t="shared" si="97"/>
        <v>0</v>
      </c>
      <c r="P147" s="978">
        <f t="shared" si="97"/>
        <v>0</v>
      </c>
    </row>
    <row r="148" spans="1:16" s="954" customFormat="1" hidden="1" outlineLevel="1" x14ac:dyDescent="0.35">
      <c r="A148" s="985" t="s">
        <v>89</v>
      </c>
      <c r="B148" s="985"/>
      <c r="C148" s="986"/>
      <c r="D148" s="987"/>
      <c r="E148" s="987"/>
      <c r="F148" s="988"/>
      <c r="G148" s="988">
        <f t="shared" ref="G148:P148" si="98">IF((G$2-$F$2)&gt;$B$19,0,-IPMT($B$21+G$7,(G$2-$F$2),$B$19,$G145,0))</f>
        <v>0</v>
      </c>
      <c r="H148" s="988">
        <f t="shared" si="98"/>
        <v>0</v>
      </c>
      <c r="I148" s="988">
        <f t="shared" si="98"/>
        <v>0</v>
      </c>
      <c r="J148" s="988">
        <f t="shared" si="98"/>
        <v>0</v>
      </c>
      <c r="K148" s="988">
        <f t="shared" si="98"/>
        <v>0</v>
      </c>
      <c r="L148" s="988">
        <f t="shared" si="98"/>
        <v>0</v>
      </c>
      <c r="M148" s="988">
        <f t="shared" si="98"/>
        <v>0</v>
      </c>
      <c r="N148" s="988">
        <f t="shared" si="98"/>
        <v>0</v>
      </c>
      <c r="O148" s="988">
        <f t="shared" si="98"/>
        <v>0</v>
      </c>
      <c r="P148" s="988">
        <f t="shared" si="98"/>
        <v>0</v>
      </c>
    </row>
    <row r="149" spans="1:16" s="954" customFormat="1" hidden="1" outlineLevel="1" x14ac:dyDescent="0.35">
      <c r="A149" s="976"/>
      <c r="B149" s="976"/>
      <c r="C149" s="984"/>
      <c r="D149" s="964"/>
      <c r="E149" s="964"/>
      <c r="F149" s="978"/>
      <c r="G149" s="978"/>
      <c r="H149" s="979"/>
      <c r="I149" s="979"/>
      <c r="J149" s="964"/>
      <c r="K149" s="964"/>
      <c r="L149" s="964"/>
      <c r="M149" s="964"/>
      <c r="N149" s="964"/>
      <c r="O149" s="964"/>
      <c r="P149" s="964"/>
    </row>
    <row r="150" spans="1:16" s="954" customFormat="1" hidden="1" outlineLevel="1" x14ac:dyDescent="0.35">
      <c r="A150" s="980" t="s">
        <v>86</v>
      </c>
      <c r="B150" s="980"/>
      <c r="C150" s="981">
        <v>3</v>
      </c>
      <c r="D150" s="982"/>
      <c r="E150" s="982"/>
      <c r="F150" s="983"/>
      <c r="G150" s="983"/>
      <c r="H150" s="983">
        <f>G$133</f>
        <v>0</v>
      </c>
      <c r="I150" s="983">
        <f>H152</f>
        <v>0</v>
      </c>
      <c r="J150" s="983">
        <f t="shared" ref="J150:P150" si="99">I152</f>
        <v>0</v>
      </c>
      <c r="K150" s="983">
        <f t="shared" si="99"/>
        <v>0</v>
      </c>
      <c r="L150" s="983">
        <f t="shared" si="99"/>
        <v>0</v>
      </c>
      <c r="M150" s="983">
        <f t="shared" si="99"/>
        <v>0</v>
      </c>
      <c r="N150" s="983">
        <f t="shared" si="99"/>
        <v>0</v>
      </c>
      <c r="O150" s="983">
        <f t="shared" si="99"/>
        <v>0</v>
      </c>
      <c r="P150" s="983">
        <f t="shared" si="99"/>
        <v>0</v>
      </c>
    </row>
    <row r="151" spans="1:16" s="954" customFormat="1" hidden="1" outlineLevel="1" x14ac:dyDescent="0.35">
      <c r="A151" s="976" t="s">
        <v>87</v>
      </c>
      <c r="B151" s="976"/>
      <c r="C151" s="984"/>
      <c r="D151" s="964"/>
      <c r="E151" s="964"/>
      <c r="F151" s="978"/>
      <c r="G151" s="978"/>
      <c r="H151" s="978">
        <f t="shared" ref="H151:P151" si="100">IF((H$2-$G$2)&gt;$B$19,0,-PPMT($B$21,(H$2-$G$2),$B$19,$H150,0))</f>
        <v>0</v>
      </c>
      <c r="I151" s="978">
        <f t="shared" si="100"/>
        <v>0</v>
      </c>
      <c r="J151" s="978">
        <f t="shared" si="100"/>
        <v>0</v>
      </c>
      <c r="K151" s="978">
        <f t="shared" si="100"/>
        <v>0</v>
      </c>
      <c r="L151" s="978">
        <f t="shared" si="100"/>
        <v>0</v>
      </c>
      <c r="M151" s="978">
        <f t="shared" si="100"/>
        <v>0</v>
      </c>
      <c r="N151" s="978">
        <f t="shared" si="100"/>
        <v>0</v>
      </c>
      <c r="O151" s="978">
        <f t="shared" si="100"/>
        <v>0</v>
      </c>
      <c r="P151" s="978">
        <f t="shared" si="100"/>
        <v>0</v>
      </c>
    </row>
    <row r="152" spans="1:16" s="954" customFormat="1" hidden="1" outlineLevel="1" x14ac:dyDescent="0.35">
      <c r="A152" s="976" t="s">
        <v>88</v>
      </c>
      <c r="B152" s="976"/>
      <c r="C152" s="984"/>
      <c r="D152" s="964"/>
      <c r="E152" s="964"/>
      <c r="F152" s="978"/>
      <c r="G152" s="978"/>
      <c r="H152" s="978">
        <f>H150-H151</f>
        <v>0</v>
      </c>
      <c r="I152" s="978">
        <f>I150-I151</f>
        <v>0</v>
      </c>
      <c r="J152" s="978">
        <f t="shared" ref="J152:P152" si="101">J150-J151</f>
        <v>0</v>
      </c>
      <c r="K152" s="978">
        <f t="shared" si="101"/>
        <v>0</v>
      </c>
      <c r="L152" s="978">
        <f t="shared" si="101"/>
        <v>0</v>
      </c>
      <c r="M152" s="978">
        <f t="shared" si="101"/>
        <v>0</v>
      </c>
      <c r="N152" s="978">
        <f t="shared" si="101"/>
        <v>0</v>
      </c>
      <c r="O152" s="978">
        <f t="shared" si="101"/>
        <v>0</v>
      </c>
      <c r="P152" s="978">
        <f t="shared" si="101"/>
        <v>0</v>
      </c>
    </row>
    <row r="153" spans="1:16" s="954" customFormat="1" hidden="1" outlineLevel="1" x14ac:dyDescent="0.35">
      <c r="A153" s="985" t="s">
        <v>89</v>
      </c>
      <c r="B153" s="985"/>
      <c r="C153" s="986"/>
      <c r="D153" s="987"/>
      <c r="E153" s="987"/>
      <c r="F153" s="988"/>
      <c r="G153" s="988"/>
      <c r="H153" s="988">
        <f t="shared" ref="H153:P153" si="102">IF((H$2-$G$2)&gt;$B$19,0,-IPMT($B$21+H$7,(H$2-$G$2),$B$19,$H150,0))</f>
        <v>0</v>
      </c>
      <c r="I153" s="988">
        <f t="shared" si="102"/>
        <v>0</v>
      </c>
      <c r="J153" s="988">
        <f t="shared" si="102"/>
        <v>0</v>
      </c>
      <c r="K153" s="988">
        <f t="shared" si="102"/>
        <v>0</v>
      </c>
      <c r="L153" s="988">
        <f t="shared" si="102"/>
        <v>0</v>
      </c>
      <c r="M153" s="988">
        <f t="shared" si="102"/>
        <v>0</v>
      </c>
      <c r="N153" s="988">
        <f t="shared" si="102"/>
        <v>0</v>
      </c>
      <c r="O153" s="988">
        <f t="shared" si="102"/>
        <v>0</v>
      </c>
      <c r="P153" s="988">
        <f t="shared" si="102"/>
        <v>0</v>
      </c>
    </row>
    <row r="154" spans="1:16" s="954" customFormat="1" hidden="1" outlineLevel="1" x14ac:dyDescent="0.35">
      <c r="A154" s="976"/>
      <c r="B154" s="976"/>
      <c r="C154" s="984"/>
      <c r="D154" s="964"/>
      <c r="E154" s="964"/>
      <c r="F154" s="978"/>
      <c r="G154" s="978"/>
      <c r="H154" s="979"/>
      <c r="I154" s="979"/>
      <c r="J154" s="964"/>
      <c r="K154" s="964"/>
      <c r="L154" s="964"/>
      <c r="M154" s="964"/>
      <c r="N154" s="964"/>
      <c r="O154" s="964"/>
      <c r="P154" s="964"/>
    </row>
    <row r="155" spans="1:16" s="954" customFormat="1" hidden="1" outlineLevel="1" x14ac:dyDescent="0.35">
      <c r="A155" s="980" t="s">
        <v>86</v>
      </c>
      <c r="B155" s="980"/>
      <c r="C155" s="981">
        <v>4</v>
      </c>
      <c r="D155" s="982"/>
      <c r="E155" s="982"/>
      <c r="F155" s="983"/>
      <c r="G155" s="983"/>
      <c r="H155" s="983"/>
      <c r="I155" s="983">
        <f>H$133</f>
        <v>0</v>
      </c>
      <c r="J155" s="983">
        <f>I157</f>
        <v>0</v>
      </c>
      <c r="K155" s="983">
        <f t="shared" ref="K155:P155" si="103">J157</f>
        <v>0</v>
      </c>
      <c r="L155" s="983">
        <f t="shared" si="103"/>
        <v>0</v>
      </c>
      <c r="M155" s="983">
        <f t="shared" si="103"/>
        <v>0</v>
      </c>
      <c r="N155" s="983">
        <f t="shared" si="103"/>
        <v>0</v>
      </c>
      <c r="O155" s="983">
        <f t="shared" si="103"/>
        <v>0</v>
      </c>
      <c r="P155" s="983">
        <f t="shared" si="103"/>
        <v>0</v>
      </c>
    </row>
    <row r="156" spans="1:16" s="954" customFormat="1" hidden="1" outlineLevel="1" x14ac:dyDescent="0.35">
      <c r="A156" s="976" t="s">
        <v>87</v>
      </c>
      <c r="B156" s="976"/>
      <c r="C156" s="984"/>
      <c r="D156" s="964"/>
      <c r="E156" s="964"/>
      <c r="F156" s="978"/>
      <c r="G156" s="978"/>
      <c r="H156" s="978"/>
      <c r="I156" s="978">
        <f t="shared" ref="I156:P156" si="104">IF((I$2-$H$2)&gt;$B$19,0,-PPMT($B$21,(I$2-$H$2),$B$19,$I155,0))</f>
        <v>0</v>
      </c>
      <c r="J156" s="978">
        <f t="shared" si="104"/>
        <v>0</v>
      </c>
      <c r="K156" s="978">
        <f t="shared" si="104"/>
        <v>0</v>
      </c>
      <c r="L156" s="978">
        <f t="shared" si="104"/>
        <v>0</v>
      </c>
      <c r="M156" s="978">
        <f t="shared" si="104"/>
        <v>0</v>
      </c>
      <c r="N156" s="978">
        <f t="shared" si="104"/>
        <v>0</v>
      </c>
      <c r="O156" s="978">
        <f t="shared" si="104"/>
        <v>0</v>
      </c>
      <c r="P156" s="978">
        <f t="shared" si="104"/>
        <v>0</v>
      </c>
    </row>
    <row r="157" spans="1:16" s="954" customFormat="1" hidden="1" outlineLevel="1" x14ac:dyDescent="0.35">
      <c r="A157" s="976" t="s">
        <v>88</v>
      </c>
      <c r="B157" s="976"/>
      <c r="C157" s="984"/>
      <c r="D157" s="964"/>
      <c r="E157" s="964"/>
      <c r="F157" s="978"/>
      <c r="G157" s="978"/>
      <c r="H157" s="978"/>
      <c r="I157" s="978">
        <f>I155-I156</f>
        <v>0</v>
      </c>
      <c r="J157" s="978">
        <f>J155-J156</f>
        <v>0</v>
      </c>
      <c r="K157" s="978">
        <f t="shared" ref="K157:P157" si="105">K155-K156</f>
        <v>0</v>
      </c>
      <c r="L157" s="978">
        <f t="shared" si="105"/>
        <v>0</v>
      </c>
      <c r="M157" s="978">
        <f t="shared" si="105"/>
        <v>0</v>
      </c>
      <c r="N157" s="978">
        <f t="shared" si="105"/>
        <v>0</v>
      </c>
      <c r="O157" s="978">
        <f t="shared" si="105"/>
        <v>0</v>
      </c>
      <c r="P157" s="978">
        <f t="shared" si="105"/>
        <v>0</v>
      </c>
    </row>
    <row r="158" spans="1:16" s="954" customFormat="1" hidden="1" outlineLevel="1" x14ac:dyDescent="0.35">
      <c r="A158" s="985" t="s">
        <v>89</v>
      </c>
      <c r="B158" s="985"/>
      <c r="C158" s="986"/>
      <c r="D158" s="987"/>
      <c r="E158" s="987"/>
      <c r="F158" s="988"/>
      <c r="G158" s="988"/>
      <c r="H158" s="988"/>
      <c r="I158" s="988">
        <f t="shared" ref="I158:P158" si="106">IF((I$2-$H$2)&gt;$B$19,0,-IPMT($B$21+I$7,(I$2-$H$2),$B$19,$I155,0))</f>
        <v>0</v>
      </c>
      <c r="J158" s="988">
        <f t="shared" si="106"/>
        <v>0</v>
      </c>
      <c r="K158" s="988">
        <f t="shared" si="106"/>
        <v>0</v>
      </c>
      <c r="L158" s="988">
        <f t="shared" si="106"/>
        <v>0</v>
      </c>
      <c r="M158" s="988">
        <f t="shared" si="106"/>
        <v>0</v>
      </c>
      <c r="N158" s="988">
        <f t="shared" si="106"/>
        <v>0</v>
      </c>
      <c r="O158" s="988">
        <f t="shared" si="106"/>
        <v>0</v>
      </c>
      <c r="P158" s="988">
        <f t="shared" si="106"/>
        <v>0</v>
      </c>
    </row>
    <row r="159" spans="1:16" s="954" customFormat="1" hidden="1" outlineLevel="1" x14ac:dyDescent="0.35">
      <c r="A159" s="976"/>
      <c r="B159" s="976"/>
      <c r="C159" s="984"/>
      <c r="D159" s="964"/>
      <c r="E159" s="964"/>
      <c r="F159" s="978"/>
      <c r="G159" s="978"/>
      <c r="H159" s="979"/>
      <c r="I159" s="979"/>
      <c r="J159" s="964"/>
      <c r="K159" s="964"/>
      <c r="L159" s="964"/>
      <c r="M159" s="964"/>
      <c r="N159" s="964"/>
      <c r="O159" s="964"/>
      <c r="P159" s="964"/>
    </row>
    <row r="160" spans="1:16" s="954" customFormat="1" hidden="1" outlineLevel="1" x14ac:dyDescent="0.35">
      <c r="A160" s="980" t="s">
        <v>86</v>
      </c>
      <c r="B160" s="980"/>
      <c r="C160" s="981">
        <v>5</v>
      </c>
      <c r="D160" s="982"/>
      <c r="E160" s="982"/>
      <c r="F160" s="983"/>
      <c r="G160" s="983"/>
      <c r="H160" s="983"/>
      <c r="I160" s="983"/>
      <c r="J160" s="983">
        <f>I$133</f>
        <v>0</v>
      </c>
      <c r="K160" s="983">
        <f>J162</f>
        <v>0</v>
      </c>
      <c r="L160" s="983">
        <f t="shared" ref="L160:P160" si="107">K162</f>
        <v>0</v>
      </c>
      <c r="M160" s="983">
        <f t="shared" si="107"/>
        <v>0</v>
      </c>
      <c r="N160" s="983">
        <f t="shared" si="107"/>
        <v>0</v>
      </c>
      <c r="O160" s="983">
        <f t="shared" si="107"/>
        <v>0</v>
      </c>
      <c r="P160" s="983">
        <f t="shared" si="107"/>
        <v>0</v>
      </c>
    </row>
    <row r="161" spans="1:16" s="954" customFormat="1" hidden="1" outlineLevel="1" x14ac:dyDescent="0.35">
      <c r="A161" s="976" t="s">
        <v>87</v>
      </c>
      <c r="B161" s="976"/>
      <c r="C161" s="984"/>
      <c r="D161" s="964"/>
      <c r="E161" s="964"/>
      <c r="F161" s="978"/>
      <c r="G161" s="978"/>
      <c r="H161" s="978"/>
      <c r="I161" s="978"/>
      <c r="J161" s="978">
        <f t="shared" ref="J161:P161" si="108">IF((J$2-$I$2)&gt;$B$19,0,-PPMT($B$21,(J$2-$I$2),$B$19,$J160,0))</f>
        <v>0</v>
      </c>
      <c r="K161" s="978">
        <f t="shared" si="108"/>
        <v>0</v>
      </c>
      <c r="L161" s="978">
        <f t="shared" si="108"/>
        <v>0</v>
      </c>
      <c r="M161" s="978">
        <f t="shared" si="108"/>
        <v>0</v>
      </c>
      <c r="N161" s="978">
        <f t="shared" si="108"/>
        <v>0</v>
      </c>
      <c r="O161" s="978">
        <f t="shared" si="108"/>
        <v>0</v>
      </c>
      <c r="P161" s="978">
        <f t="shared" si="108"/>
        <v>0</v>
      </c>
    </row>
    <row r="162" spans="1:16" s="954" customFormat="1" hidden="1" outlineLevel="1" x14ac:dyDescent="0.35">
      <c r="A162" s="976" t="s">
        <v>88</v>
      </c>
      <c r="B162" s="976"/>
      <c r="C162" s="984"/>
      <c r="D162" s="964"/>
      <c r="E162" s="964"/>
      <c r="F162" s="978"/>
      <c r="G162" s="978"/>
      <c r="H162" s="978"/>
      <c r="I162" s="978"/>
      <c r="J162" s="978">
        <f>J160-J161</f>
        <v>0</v>
      </c>
      <c r="K162" s="978">
        <f>K160-K161</f>
        <v>0</v>
      </c>
      <c r="L162" s="978">
        <f t="shared" ref="L162:P162" si="109">L160-L161</f>
        <v>0</v>
      </c>
      <c r="M162" s="978">
        <f t="shared" si="109"/>
        <v>0</v>
      </c>
      <c r="N162" s="978">
        <f t="shared" si="109"/>
        <v>0</v>
      </c>
      <c r="O162" s="978">
        <f t="shared" si="109"/>
        <v>0</v>
      </c>
      <c r="P162" s="978">
        <f t="shared" si="109"/>
        <v>0</v>
      </c>
    </row>
    <row r="163" spans="1:16" s="954" customFormat="1" hidden="1" outlineLevel="1" x14ac:dyDescent="0.35">
      <c r="A163" s="985" t="s">
        <v>89</v>
      </c>
      <c r="B163" s="985"/>
      <c r="C163" s="986"/>
      <c r="D163" s="987"/>
      <c r="E163" s="987"/>
      <c r="F163" s="988"/>
      <c r="G163" s="988"/>
      <c r="H163" s="988"/>
      <c r="I163" s="988"/>
      <c r="J163" s="988">
        <f t="shared" ref="J163:P163" si="110">IF((J$2-$I$2)&gt;$B$19,0,-IPMT($B$21+J$7,(J$2-$I$2),$B$19,$J160,0))</f>
        <v>0</v>
      </c>
      <c r="K163" s="988">
        <f t="shared" si="110"/>
        <v>0</v>
      </c>
      <c r="L163" s="988">
        <f t="shared" si="110"/>
        <v>0</v>
      </c>
      <c r="M163" s="988">
        <f t="shared" si="110"/>
        <v>0</v>
      </c>
      <c r="N163" s="988">
        <f t="shared" si="110"/>
        <v>0</v>
      </c>
      <c r="O163" s="988">
        <f t="shared" si="110"/>
        <v>0</v>
      </c>
      <c r="P163" s="988">
        <f t="shared" si="110"/>
        <v>0</v>
      </c>
    </row>
    <row r="164" spans="1:16" s="954" customFormat="1" hidden="1" outlineLevel="1" x14ac:dyDescent="0.35">
      <c r="A164" s="976"/>
      <c r="B164" s="976"/>
      <c r="C164" s="984"/>
      <c r="D164" s="964"/>
      <c r="E164" s="964"/>
      <c r="F164" s="978"/>
      <c r="G164" s="978"/>
      <c r="H164" s="979"/>
      <c r="I164" s="979"/>
      <c r="J164" s="964"/>
      <c r="K164" s="964"/>
      <c r="L164" s="964"/>
      <c r="M164" s="964"/>
      <c r="N164" s="964"/>
      <c r="O164" s="964"/>
      <c r="P164" s="964"/>
    </row>
    <row r="165" spans="1:16" s="954" customFormat="1" hidden="1" outlineLevel="1" x14ac:dyDescent="0.35">
      <c r="A165" s="980" t="s">
        <v>86</v>
      </c>
      <c r="B165" s="980"/>
      <c r="C165" s="981">
        <v>6</v>
      </c>
      <c r="D165" s="982"/>
      <c r="E165" s="982"/>
      <c r="F165" s="983"/>
      <c r="G165" s="983"/>
      <c r="H165" s="983"/>
      <c r="I165" s="983"/>
      <c r="J165" s="983"/>
      <c r="K165" s="983">
        <f>J$133</f>
        <v>0</v>
      </c>
      <c r="L165" s="983">
        <f>K167</f>
        <v>0</v>
      </c>
      <c r="M165" s="983">
        <f t="shared" ref="M165:P165" si="111">L167</f>
        <v>0</v>
      </c>
      <c r="N165" s="983">
        <f t="shared" si="111"/>
        <v>0</v>
      </c>
      <c r="O165" s="983">
        <f t="shared" si="111"/>
        <v>0</v>
      </c>
      <c r="P165" s="983">
        <f t="shared" si="111"/>
        <v>0</v>
      </c>
    </row>
    <row r="166" spans="1:16" s="954" customFormat="1" hidden="1" outlineLevel="1" x14ac:dyDescent="0.35">
      <c r="A166" s="976" t="s">
        <v>87</v>
      </c>
      <c r="B166" s="976"/>
      <c r="C166" s="984"/>
      <c r="D166" s="964"/>
      <c r="E166" s="964"/>
      <c r="F166" s="978"/>
      <c r="G166" s="978"/>
      <c r="H166" s="978"/>
      <c r="I166" s="978"/>
      <c r="J166" s="978"/>
      <c r="K166" s="978">
        <f t="shared" ref="K166:P166" si="112">IF((K$2-$J$2)&gt;$B$19,0,-PPMT($B$21,(K$2-$J$2),$B$19,$K165,0))</f>
        <v>0</v>
      </c>
      <c r="L166" s="978">
        <f t="shared" si="112"/>
        <v>0</v>
      </c>
      <c r="M166" s="978">
        <f t="shared" si="112"/>
        <v>0</v>
      </c>
      <c r="N166" s="978">
        <f t="shared" si="112"/>
        <v>0</v>
      </c>
      <c r="O166" s="978">
        <f t="shared" si="112"/>
        <v>0</v>
      </c>
      <c r="P166" s="978">
        <f t="shared" si="112"/>
        <v>0</v>
      </c>
    </row>
    <row r="167" spans="1:16" s="954" customFormat="1" hidden="1" outlineLevel="1" x14ac:dyDescent="0.35">
      <c r="A167" s="976" t="s">
        <v>88</v>
      </c>
      <c r="B167" s="976"/>
      <c r="C167" s="984"/>
      <c r="D167" s="964"/>
      <c r="E167" s="964"/>
      <c r="F167" s="978"/>
      <c r="G167" s="978"/>
      <c r="H167" s="978"/>
      <c r="I167" s="978"/>
      <c r="J167" s="978"/>
      <c r="K167" s="978">
        <f>K165-K166</f>
        <v>0</v>
      </c>
      <c r="L167" s="978">
        <f t="shared" ref="L167:P167" si="113">L165-L166</f>
        <v>0</v>
      </c>
      <c r="M167" s="978">
        <f t="shared" si="113"/>
        <v>0</v>
      </c>
      <c r="N167" s="978">
        <f t="shared" si="113"/>
        <v>0</v>
      </c>
      <c r="O167" s="978">
        <f t="shared" si="113"/>
        <v>0</v>
      </c>
      <c r="P167" s="978">
        <f t="shared" si="113"/>
        <v>0</v>
      </c>
    </row>
    <row r="168" spans="1:16" s="954" customFormat="1" hidden="1" outlineLevel="1" x14ac:dyDescent="0.35">
      <c r="A168" s="985" t="s">
        <v>89</v>
      </c>
      <c r="B168" s="985"/>
      <c r="C168" s="986"/>
      <c r="D168" s="987"/>
      <c r="E168" s="987"/>
      <c r="F168" s="988"/>
      <c r="G168" s="988"/>
      <c r="H168" s="988"/>
      <c r="I168" s="988"/>
      <c r="J168" s="988"/>
      <c r="K168" s="988">
        <f t="shared" ref="K168:P168" si="114">IF((K$2-$J$2)&gt;$B$19,0,-IPMT($B$21+K$7,(K$2-$J$2),$B$19,$K165,0))</f>
        <v>0</v>
      </c>
      <c r="L168" s="988">
        <f t="shared" si="114"/>
        <v>0</v>
      </c>
      <c r="M168" s="988">
        <f t="shared" si="114"/>
        <v>0</v>
      </c>
      <c r="N168" s="988">
        <f t="shared" si="114"/>
        <v>0</v>
      </c>
      <c r="O168" s="988">
        <f t="shared" si="114"/>
        <v>0</v>
      </c>
      <c r="P168" s="988">
        <f t="shared" si="114"/>
        <v>0</v>
      </c>
    </row>
    <row r="169" spans="1:16" s="954" customFormat="1" hidden="1" outlineLevel="1" x14ac:dyDescent="0.35">
      <c r="A169" s="976"/>
      <c r="B169" s="976"/>
      <c r="C169" s="984"/>
      <c r="D169" s="964"/>
      <c r="E169" s="964"/>
      <c r="F169" s="978"/>
      <c r="G169" s="978"/>
      <c r="H169" s="979"/>
      <c r="I169" s="979"/>
      <c r="J169" s="964"/>
      <c r="K169" s="964"/>
      <c r="L169" s="964"/>
      <c r="M169" s="964"/>
      <c r="N169" s="964"/>
      <c r="O169" s="964"/>
      <c r="P169" s="964"/>
    </row>
    <row r="170" spans="1:16" s="954" customFormat="1" hidden="1" outlineLevel="1" x14ac:dyDescent="0.35">
      <c r="A170" s="980" t="s">
        <v>86</v>
      </c>
      <c r="B170" s="980"/>
      <c r="C170" s="981">
        <v>7</v>
      </c>
      <c r="D170" s="982"/>
      <c r="E170" s="982"/>
      <c r="F170" s="983"/>
      <c r="G170" s="983"/>
      <c r="H170" s="983"/>
      <c r="I170" s="983"/>
      <c r="J170" s="983"/>
      <c r="K170" s="983"/>
      <c r="L170" s="983">
        <f>K$133</f>
        <v>0</v>
      </c>
      <c r="M170" s="983">
        <f>L172</f>
        <v>0</v>
      </c>
      <c r="N170" s="983">
        <f t="shared" ref="N170:P170" si="115">M172</f>
        <v>0</v>
      </c>
      <c r="O170" s="983">
        <f t="shared" si="115"/>
        <v>0</v>
      </c>
      <c r="P170" s="983">
        <f t="shared" si="115"/>
        <v>0</v>
      </c>
    </row>
    <row r="171" spans="1:16" s="954" customFormat="1" hidden="1" outlineLevel="1" x14ac:dyDescent="0.35">
      <c r="A171" s="976" t="s">
        <v>87</v>
      </c>
      <c r="B171" s="976"/>
      <c r="C171" s="977"/>
      <c r="D171" s="964"/>
      <c r="E171" s="964"/>
      <c r="F171" s="978"/>
      <c r="G171" s="978"/>
      <c r="H171" s="978"/>
      <c r="I171" s="978"/>
      <c r="J171" s="978"/>
      <c r="K171" s="978"/>
      <c r="L171" s="978">
        <f>IF((L$2-$K$2)&gt;$B$19,0,-PPMT($B$21,(L$2-$K$2),$B$19,$L170,0))</f>
        <v>0</v>
      </c>
      <c r="M171" s="978">
        <f>IF((M$2-$K$2)&gt;$B$19,0,-PPMT($B$21,(M$2-$K$2),$B$19,$L170,0))</f>
        <v>0</v>
      </c>
      <c r="N171" s="978">
        <f>IF((N$2-$K$2)&gt;$B$19,0,-PPMT($B$21,(N$2-$K$2),$B$19,$L170,0))</f>
        <v>0</v>
      </c>
      <c r="O171" s="978">
        <f>IF((O$2-$K$2)&gt;$B$19,0,-PPMT($B$21,(O$2-$K$2),$B$19,$L170,0))</f>
        <v>0</v>
      </c>
      <c r="P171" s="978">
        <f>IF((P$2-$K$2)&gt;$B$19,0,-PPMT($B$21,(P$2-$K$2),$B$19,$L170,0))</f>
        <v>0</v>
      </c>
    </row>
    <row r="172" spans="1:16" s="954" customFormat="1" hidden="1" outlineLevel="1" x14ac:dyDescent="0.35">
      <c r="A172" s="976" t="s">
        <v>88</v>
      </c>
      <c r="B172" s="976"/>
      <c r="C172" s="977"/>
      <c r="D172" s="964"/>
      <c r="E172" s="964"/>
      <c r="F172" s="978"/>
      <c r="G172" s="978"/>
      <c r="H172" s="978"/>
      <c r="I172" s="978"/>
      <c r="J172" s="978"/>
      <c r="K172" s="978"/>
      <c r="L172" s="978">
        <f>L170-L171</f>
        <v>0</v>
      </c>
      <c r="M172" s="978">
        <f>M170-M171</f>
        <v>0</v>
      </c>
      <c r="N172" s="978">
        <f t="shared" ref="N172:P172" si="116">N170-N171</f>
        <v>0</v>
      </c>
      <c r="O172" s="978">
        <f t="shared" si="116"/>
        <v>0</v>
      </c>
      <c r="P172" s="978">
        <f t="shared" si="116"/>
        <v>0</v>
      </c>
    </row>
    <row r="173" spans="1:16" s="954" customFormat="1" hidden="1" outlineLevel="1" x14ac:dyDescent="0.35">
      <c r="A173" s="985" t="s">
        <v>89</v>
      </c>
      <c r="B173" s="985"/>
      <c r="C173" s="989"/>
      <c r="D173" s="987"/>
      <c r="E173" s="987"/>
      <c r="F173" s="988"/>
      <c r="G173" s="988"/>
      <c r="H173" s="988"/>
      <c r="I173" s="988"/>
      <c r="J173" s="988"/>
      <c r="K173" s="988"/>
      <c r="L173" s="988">
        <f>IF((L$2-$K$2)&gt;$B$19,0,-IPMT($B$21+L$7,(L$2-$K$2),$B$19,$L170,0))</f>
        <v>0</v>
      </c>
      <c r="M173" s="988">
        <f>IF((M$2-$K$2)&gt;$B$19,0,-IPMT($B$21+M$7,(M$2-$K$2),$B$19,$L170,0))</f>
        <v>0</v>
      </c>
      <c r="N173" s="988">
        <f>IF((N$2-$K$2)&gt;$B$19,0,-IPMT($B$21+N$7,(N$2-$K$2),$B$19,$L170,0))</f>
        <v>0</v>
      </c>
      <c r="O173" s="988">
        <f>IF((O$2-$K$2)&gt;$B$19,0,-IPMT($B$21+O$7,(O$2-$K$2),$B$19,$L170,0))</f>
        <v>0</v>
      </c>
      <c r="P173" s="988">
        <f>IF((P$2-$K$2)&gt;$B$19,0,-IPMT($B$21+P$7,(P$2-$K$2),$B$19,$L170,0))</f>
        <v>0</v>
      </c>
    </row>
    <row r="174" spans="1:16" s="954" customFormat="1" hidden="1" outlineLevel="1" x14ac:dyDescent="0.35">
      <c r="A174" s="976"/>
      <c r="B174" s="976"/>
      <c r="C174" s="977"/>
      <c r="D174" s="964"/>
      <c r="E174" s="964"/>
      <c r="F174" s="978"/>
      <c r="G174" s="978"/>
      <c r="H174" s="979"/>
      <c r="I174" s="979"/>
      <c r="J174" s="964"/>
      <c r="K174" s="964"/>
      <c r="L174" s="964"/>
      <c r="M174" s="964"/>
      <c r="N174" s="964"/>
      <c r="O174" s="964"/>
      <c r="P174" s="964"/>
    </row>
    <row r="175" spans="1:16" s="954" customFormat="1" hidden="1" outlineLevel="1" x14ac:dyDescent="0.35">
      <c r="A175" s="980" t="s">
        <v>86</v>
      </c>
      <c r="B175" s="980"/>
      <c r="C175" s="981">
        <v>8</v>
      </c>
      <c r="D175" s="982"/>
      <c r="E175" s="982"/>
      <c r="F175" s="983"/>
      <c r="G175" s="983"/>
      <c r="H175" s="983"/>
      <c r="I175" s="983"/>
      <c r="J175" s="983"/>
      <c r="K175" s="983"/>
      <c r="L175" s="983"/>
      <c r="M175" s="983">
        <f>L$133</f>
        <v>0</v>
      </c>
      <c r="N175" s="983">
        <f t="shared" ref="N175:P175" si="117">M177</f>
        <v>0</v>
      </c>
      <c r="O175" s="983">
        <f t="shared" si="117"/>
        <v>0</v>
      </c>
      <c r="P175" s="983">
        <f t="shared" si="117"/>
        <v>0</v>
      </c>
    </row>
    <row r="176" spans="1:16" s="954" customFormat="1" hidden="1" outlineLevel="1" x14ac:dyDescent="0.35">
      <c r="A176" s="976" t="s">
        <v>87</v>
      </c>
      <c r="B176" s="976"/>
      <c r="C176" s="977"/>
      <c r="D176" s="964"/>
      <c r="E176" s="964"/>
      <c r="F176" s="978"/>
      <c r="G176" s="978"/>
      <c r="H176" s="978"/>
      <c r="I176" s="978"/>
      <c r="J176" s="978"/>
      <c r="K176" s="978"/>
      <c r="L176" s="978"/>
      <c r="M176" s="978">
        <f>IF((M$2-$L$2)&gt;$B$19,0,-PPMT($B$21,(M$2-$L$2),$B$19,$M175,0))</f>
        <v>0</v>
      </c>
      <c r="N176" s="978">
        <f>IF((N$2-$L$2)&gt;$B$19,0,-PPMT($B$21,(N$2-$L$2),$B$19,$M175,0))</f>
        <v>0</v>
      </c>
      <c r="O176" s="978">
        <f>IF((O$2-$L$2)&gt;$B$19,0,-PPMT($B$21,(O$2-$L$2),$B$19,$M175,0))</f>
        <v>0</v>
      </c>
      <c r="P176" s="978">
        <f>IF((P$2-$L$2)&gt;$B$19,0,-PPMT($B$21,(P$2-$L$2),$B$19,$M175,0))</f>
        <v>0</v>
      </c>
    </row>
    <row r="177" spans="1:18" s="954" customFormat="1" hidden="1" outlineLevel="1" x14ac:dyDescent="0.35">
      <c r="A177" s="976" t="s">
        <v>88</v>
      </c>
      <c r="B177" s="976"/>
      <c r="C177" s="977"/>
      <c r="D177" s="964"/>
      <c r="E177" s="964"/>
      <c r="F177" s="978"/>
      <c r="G177" s="978"/>
      <c r="H177" s="978"/>
      <c r="I177" s="978"/>
      <c r="J177" s="978"/>
      <c r="K177" s="978"/>
      <c r="L177" s="978"/>
      <c r="M177" s="978">
        <f>M175-M176</f>
        <v>0</v>
      </c>
      <c r="N177" s="978">
        <f t="shared" ref="N177:P177" si="118">N175-N176</f>
        <v>0</v>
      </c>
      <c r="O177" s="978">
        <f t="shared" si="118"/>
        <v>0</v>
      </c>
      <c r="P177" s="978">
        <f t="shared" si="118"/>
        <v>0</v>
      </c>
    </row>
    <row r="178" spans="1:18" s="954" customFormat="1" hidden="1" outlineLevel="1" x14ac:dyDescent="0.35">
      <c r="A178" s="985" t="s">
        <v>89</v>
      </c>
      <c r="B178" s="985"/>
      <c r="C178" s="989"/>
      <c r="D178" s="987"/>
      <c r="E178" s="987"/>
      <c r="F178" s="988"/>
      <c r="G178" s="988"/>
      <c r="H178" s="988"/>
      <c r="I178" s="988"/>
      <c r="J178" s="988"/>
      <c r="K178" s="988"/>
      <c r="L178" s="988"/>
      <c r="M178" s="988">
        <f>IF((M$2-$L$2)&gt;$B$19,0,-IPMT($B$21+M$7,(M$2-$L$2),$B$19,$M175,0))</f>
        <v>0</v>
      </c>
      <c r="N178" s="988">
        <f>IF((N$2-$L$2)&gt;$B$19,0,-IPMT($B$21+N$7,(N$2-$L$2),$B$19,$M175,0))</f>
        <v>0</v>
      </c>
      <c r="O178" s="988">
        <f>IF((O$2-$L$2)&gt;$B$19,0,-IPMT($B$21+O$7,(O$2-$L$2),$B$19,$M175,0))</f>
        <v>0</v>
      </c>
      <c r="P178" s="988">
        <f>IF((P$2-$L$2)&gt;$B$19,0,-IPMT($B$21+P$7,(P$2-$L$2),$B$19,$M175,0))</f>
        <v>0</v>
      </c>
    </row>
    <row r="179" spans="1:18" s="954" customFormat="1" hidden="1" outlineLevel="1" x14ac:dyDescent="0.35">
      <c r="A179" s="976"/>
      <c r="B179" s="976"/>
      <c r="C179" s="977"/>
      <c r="D179" s="964"/>
      <c r="E179" s="964"/>
      <c r="F179" s="978"/>
      <c r="G179" s="978"/>
      <c r="H179" s="979"/>
      <c r="I179" s="979"/>
      <c r="J179" s="964"/>
      <c r="K179" s="964"/>
      <c r="L179" s="964"/>
      <c r="M179" s="964"/>
      <c r="N179" s="964"/>
      <c r="O179" s="964"/>
      <c r="P179" s="964"/>
    </row>
    <row r="180" spans="1:18" s="954" customFormat="1" hidden="1" outlineLevel="1" x14ac:dyDescent="0.35">
      <c r="A180" s="980" t="s">
        <v>86</v>
      </c>
      <c r="B180" s="980"/>
      <c r="C180" s="981">
        <v>9</v>
      </c>
      <c r="D180" s="982"/>
      <c r="E180" s="982"/>
      <c r="F180" s="983"/>
      <c r="G180" s="983"/>
      <c r="H180" s="983"/>
      <c r="I180" s="983"/>
      <c r="J180" s="983"/>
      <c r="K180" s="983"/>
      <c r="L180" s="983"/>
      <c r="M180" s="983"/>
      <c r="N180" s="983">
        <f>M$133</f>
        <v>0</v>
      </c>
      <c r="O180" s="983">
        <f t="shared" ref="O180:P180" si="119">N182</f>
        <v>0</v>
      </c>
      <c r="P180" s="983">
        <f t="shared" si="119"/>
        <v>0</v>
      </c>
    </row>
    <row r="181" spans="1:18" s="954" customFormat="1" hidden="1" outlineLevel="1" x14ac:dyDescent="0.35">
      <c r="A181" s="976" t="s">
        <v>87</v>
      </c>
      <c r="B181" s="976"/>
      <c r="C181" s="977"/>
      <c r="D181" s="964"/>
      <c r="E181" s="964"/>
      <c r="F181" s="978"/>
      <c r="G181" s="978"/>
      <c r="H181" s="978"/>
      <c r="I181" s="978"/>
      <c r="J181" s="978"/>
      <c r="K181" s="978"/>
      <c r="L181" s="978"/>
      <c r="M181" s="978"/>
      <c r="N181" s="978">
        <f>IF((N$2-$M$2)&gt;$B$19,0,-PPMT($B$21,(N$2-$M$2),$B$19,$N180,0))</f>
        <v>0</v>
      </c>
      <c r="O181" s="978">
        <f>IF((O$2-$M$2)&gt;$B$19,0,-PPMT($B$21,(O$2-$M$2),$B$19,$N180,0))</f>
        <v>0</v>
      </c>
      <c r="P181" s="978">
        <f>IF((P$2-$M$2)&gt;$B$19,0,-PPMT($B$21,(P$2-$M$2),$B$19,$N180,0))</f>
        <v>0</v>
      </c>
    </row>
    <row r="182" spans="1:18" s="954" customFormat="1" hidden="1" outlineLevel="1" x14ac:dyDescent="0.35">
      <c r="A182" s="976" t="s">
        <v>88</v>
      </c>
      <c r="B182" s="976"/>
      <c r="C182" s="977"/>
      <c r="D182" s="964"/>
      <c r="E182" s="964"/>
      <c r="F182" s="978"/>
      <c r="G182" s="978"/>
      <c r="H182" s="978"/>
      <c r="I182" s="978"/>
      <c r="J182" s="978"/>
      <c r="K182" s="978"/>
      <c r="L182" s="978"/>
      <c r="M182" s="978"/>
      <c r="N182" s="978">
        <f>N180-N181</f>
        <v>0</v>
      </c>
      <c r="O182" s="978">
        <f t="shared" ref="O182:P182" si="120">O180-O181</f>
        <v>0</v>
      </c>
      <c r="P182" s="978">
        <f t="shared" si="120"/>
        <v>0</v>
      </c>
    </row>
    <row r="183" spans="1:18" s="954" customFormat="1" hidden="1" outlineLevel="1" x14ac:dyDescent="0.35">
      <c r="A183" s="985" t="s">
        <v>89</v>
      </c>
      <c r="B183" s="985"/>
      <c r="C183" s="989"/>
      <c r="D183" s="987"/>
      <c r="E183" s="987"/>
      <c r="F183" s="988"/>
      <c r="G183" s="988"/>
      <c r="H183" s="988"/>
      <c r="I183" s="988"/>
      <c r="J183" s="988"/>
      <c r="K183" s="988"/>
      <c r="L183" s="988"/>
      <c r="M183" s="988"/>
      <c r="N183" s="988">
        <f>IF((N$2-$M$2)&gt;$B$19,0,-IPMT($B$21+N$7,(N$2-$M$2),$B$19,$N180,0))</f>
        <v>0</v>
      </c>
      <c r="O183" s="988">
        <f>IF((O$2-$M$2)&gt;$B$19,0,-IPMT($B$21+O$7,(O$2-$M$2),$B$19,$N180,0))</f>
        <v>0</v>
      </c>
      <c r="P183" s="988">
        <f>IF((P$2-$M$2)&gt;$B$19,0,-IPMT($B$21+P$7,(P$2-$M$2),$B$19,$N180,0))</f>
        <v>0</v>
      </c>
    </row>
    <row r="184" spans="1:18" s="954" customFormat="1" hidden="1" outlineLevel="1" x14ac:dyDescent="0.35">
      <c r="A184" s="976"/>
      <c r="B184" s="976"/>
      <c r="C184" s="977"/>
      <c r="D184" s="964"/>
      <c r="E184" s="964"/>
      <c r="F184" s="978"/>
      <c r="G184" s="978"/>
      <c r="H184" s="979"/>
      <c r="I184" s="979"/>
      <c r="J184" s="964"/>
      <c r="K184" s="964"/>
      <c r="L184" s="964"/>
      <c r="M184" s="964"/>
      <c r="N184" s="964"/>
      <c r="O184" s="964"/>
      <c r="P184" s="964"/>
    </row>
    <row r="185" spans="1:18" s="954" customFormat="1" hidden="1" outlineLevel="1" x14ac:dyDescent="0.35">
      <c r="A185" s="980" t="s">
        <v>86</v>
      </c>
      <c r="B185" s="980"/>
      <c r="C185" s="981">
        <v>10</v>
      </c>
      <c r="D185" s="982"/>
      <c r="E185" s="982"/>
      <c r="F185" s="983"/>
      <c r="G185" s="983"/>
      <c r="H185" s="983"/>
      <c r="I185" s="983"/>
      <c r="J185" s="983"/>
      <c r="K185" s="983"/>
      <c r="L185" s="983"/>
      <c r="M185" s="983"/>
      <c r="N185" s="983"/>
      <c r="O185" s="983">
        <f>N$133</f>
        <v>0</v>
      </c>
      <c r="P185" s="983">
        <f t="shared" ref="P185" si="121">O187</f>
        <v>0</v>
      </c>
    </row>
    <row r="186" spans="1:18" s="954" customFormat="1" hidden="1" outlineLevel="1" x14ac:dyDescent="0.35">
      <c r="A186" s="976" t="s">
        <v>87</v>
      </c>
      <c r="B186" s="976"/>
      <c r="C186" s="977"/>
      <c r="D186" s="964"/>
      <c r="E186" s="964"/>
      <c r="F186" s="978"/>
      <c r="G186" s="978"/>
      <c r="H186" s="978"/>
      <c r="I186" s="978"/>
      <c r="J186" s="978"/>
      <c r="K186" s="978"/>
      <c r="L186" s="978"/>
      <c r="M186" s="978"/>
      <c r="N186" s="978"/>
      <c r="O186" s="978">
        <f>IF((O$2-$N$2)&gt;$B$19,0,-PPMT($B$21,(O$2-$N$2),$B$19,$O185,0))</f>
        <v>0</v>
      </c>
      <c r="P186" s="978">
        <f>IF((P$2-$N$2)&gt;$B$19,0,-PPMT($B$21,(P$2-$N$2),$B$19,$O185,0))</f>
        <v>0</v>
      </c>
      <c r="Q186" s="978"/>
      <c r="R186" s="978"/>
    </row>
    <row r="187" spans="1:18" s="954" customFormat="1" hidden="1" outlineLevel="1" x14ac:dyDescent="0.35">
      <c r="A187" s="976" t="s">
        <v>88</v>
      </c>
      <c r="B187" s="976"/>
      <c r="C187" s="977"/>
      <c r="D187" s="964"/>
      <c r="E187" s="964"/>
      <c r="F187" s="978"/>
      <c r="G187" s="978"/>
      <c r="H187" s="978"/>
      <c r="I187" s="978"/>
      <c r="J187" s="978"/>
      <c r="K187" s="978"/>
      <c r="L187" s="978"/>
      <c r="M187" s="978"/>
      <c r="N187" s="978"/>
      <c r="O187" s="978">
        <f>O185-O186</f>
        <v>0</v>
      </c>
      <c r="P187" s="978">
        <f t="shared" ref="P187" si="122">P185-P186</f>
        <v>0</v>
      </c>
      <c r="Q187" s="978"/>
      <c r="R187" s="978"/>
    </row>
    <row r="188" spans="1:18" s="954" customFormat="1" hidden="1" outlineLevel="1" x14ac:dyDescent="0.35">
      <c r="A188" s="985" t="s">
        <v>89</v>
      </c>
      <c r="B188" s="985"/>
      <c r="C188" s="989"/>
      <c r="D188" s="987"/>
      <c r="E188" s="987"/>
      <c r="F188" s="988"/>
      <c r="G188" s="988"/>
      <c r="H188" s="988"/>
      <c r="I188" s="988"/>
      <c r="J188" s="988"/>
      <c r="K188" s="988"/>
      <c r="L188" s="988"/>
      <c r="M188" s="988"/>
      <c r="N188" s="988"/>
      <c r="O188" s="988">
        <f>IF((O$2-$N$2)&gt;$B$19,0,-IPMT($B$21+O$7,(O$2-$N$2),$B$19,$O185,0))</f>
        <v>0</v>
      </c>
      <c r="P188" s="988">
        <f>IF((P$2-$N$2)&gt;$B$19,0,-IPMT($B$21+P$7,(P$2-$N$2),$B$19,$O185,0))</f>
        <v>0</v>
      </c>
      <c r="Q188" s="978"/>
      <c r="R188" s="978"/>
    </row>
    <row r="189" spans="1:18" s="954" customFormat="1" hidden="1" outlineLevel="1" x14ac:dyDescent="0.35">
      <c r="A189" s="976"/>
      <c r="B189" s="976"/>
      <c r="C189" s="977"/>
      <c r="D189" s="964"/>
      <c r="E189" s="964"/>
      <c r="F189" s="978"/>
      <c r="G189" s="978"/>
      <c r="H189" s="979"/>
      <c r="I189" s="979"/>
      <c r="J189" s="964"/>
      <c r="K189" s="964"/>
      <c r="L189" s="964"/>
      <c r="M189" s="964"/>
      <c r="N189" s="964"/>
      <c r="O189" s="964"/>
      <c r="P189" s="964"/>
      <c r="Q189" s="978"/>
      <c r="R189" s="978"/>
    </row>
    <row r="190" spans="1:18" s="954" customFormat="1" hidden="1" outlineLevel="1" x14ac:dyDescent="0.35">
      <c r="A190" s="980" t="s">
        <v>86</v>
      </c>
      <c r="B190" s="980"/>
      <c r="C190" s="981">
        <v>11</v>
      </c>
      <c r="D190" s="982"/>
      <c r="E190" s="982"/>
      <c r="F190" s="983"/>
      <c r="G190" s="983"/>
      <c r="H190" s="983"/>
      <c r="I190" s="983"/>
      <c r="J190" s="983"/>
      <c r="K190" s="983"/>
      <c r="L190" s="983"/>
      <c r="M190" s="983"/>
      <c r="N190" s="983"/>
      <c r="O190" s="983"/>
      <c r="P190" s="983">
        <f>O$133</f>
        <v>0</v>
      </c>
      <c r="Q190" s="978"/>
      <c r="R190" s="978"/>
    </row>
    <row r="191" spans="1:18" s="954" customFormat="1" hidden="1" outlineLevel="1" x14ac:dyDescent="0.35">
      <c r="A191" s="976" t="s">
        <v>87</v>
      </c>
      <c r="B191" s="976"/>
      <c r="C191" s="977"/>
      <c r="D191" s="964"/>
      <c r="E191" s="964"/>
      <c r="F191" s="978"/>
      <c r="G191" s="978"/>
      <c r="H191" s="978"/>
      <c r="I191" s="978"/>
      <c r="J191" s="978"/>
      <c r="K191" s="978"/>
      <c r="L191" s="978"/>
      <c r="M191" s="978"/>
      <c r="N191" s="978"/>
      <c r="O191" s="978"/>
      <c r="P191" s="978">
        <f>IF((P$2-$O$2)&gt;$B$19,0,-PPMT($B$21,(P$2-$O$2),$B$19,$P190,0))</f>
        <v>0</v>
      </c>
      <c r="Q191" s="978"/>
      <c r="R191" s="978"/>
    </row>
    <row r="192" spans="1:18" s="954" customFormat="1" hidden="1" outlineLevel="1" x14ac:dyDescent="0.35">
      <c r="A192" s="976" t="s">
        <v>88</v>
      </c>
      <c r="B192" s="976"/>
      <c r="C192" s="977"/>
      <c r="D192" s="964"/>
      <c r="E192" s="964"/>
      <c r="F192" s="978"/>
      <c r="G192" s="978"/>
      <c r="H192" s="978"/>
      <c r="I192" s="978"/>
      <c r="J192" s="978"/>
      <c r="K192" s="978"/>
      <c r="L192" s="978"/>
      <c r="M192" s="978"/>
      <c r="N192" s="978"/>
      <c r="O192" s="978"/>
      <c r="P192" s="978">
        <f>P190-P191</f>
        <v>0</v>
      </c>
      <c r="Q192" s="978"/>
      <c r="R192" s="978"/>
    </row>
    <row r="193" spans="1:18" s="954" customFormat="1" hidden="1" outlineLevel="1" x14ac:dyDescent="0.35">
      <c r="A193" s="985" t="s">
        <v>89</v>
      </c>
      <c r="B193" s="985"/>
      <c r="C193" s="989"/>
      <c r="D193" s="987"/>
      <c r="E193" s="987"/>
      <c r="F193" s="988"/>
      <c r="G193" s="988"/>
      <c r="H193" s="988"/>
      <c r="I193" s="988"/>
      <c r="J193" s="988"/>
      <c r="K193" s="988"/>
      <c r="L193" s="988"/>
      <c r="M193" s="988"/>
      <c r="N193" s="988"/>
      <c r="O193" s="988"/>
      <c r="P193" s="988">
        <f>IF((P$2-$O$2)&gt;$B$19,0,-IPMT($B$21+P$7,(P$2-$O$2),$B$19,$P190,0))</f>
        <v>0</v>
      </c>
      <c r="Q193" s="978"/>
      <c r="R193" s="978"/>
    </row>
    <row r="194" spans="1:18" s="954" customFormat="1" hidden="1" outlineLevel="1" x14ac:dyDescent="0.35">
      <c r="A194" s="976"/>
      <c r="B194" s="976"/>
      <c r="C194" s="977"/>
      <c r="D194" s="964"/>
      <c r="E194" s="964"/>
      <c r="F194" s="978"/>
      <c r="G194" s="978"/>
      <c r="H194" s="979"/>
      <c r="I194" s="979"/>
      <c r="J194" s="964"/>
      <c r="K194" s="964"/>
      <c r="L194" s="964"/>
      <c r="M194" s="964"/>
      <c r="N194" s="964"/>
      <c r="O194" s="964"/>
      <c r="P194" s="964"/>
      <c r="Q194" s="978"/>
      <c r="R194" s="978"/>
    </row>
    <row r="195" spans="1:18" s="992" customFormat="1" hidden="1" outlineLevel="1" x14ac:dyDescent="0.35">
      <c r="A195" s="980" t="s">
        <v>86</v>
      </c>
      <c r="B195" s="980"/>
      <c r="C195" s="981">
        <v>12</v>
      </c>
      <c r="D195" s="990"/>
      <c r="E195" s="990"/>
      <c r="F195" s="990"/>
      <c r="G195" s="990"/>
      <c r="H195" s="990"/>
      <c r="I195" s="990"/>
      <c r="J195" s="990"/>
      <c r="K195" s="990"/>
      <c r="L195" s="990"/>
      <c r="M195" s="990"/>
      <c r="N195" s="990"/>
      <c r="O195" s="990"/>
      <c r="P195" s="991"/>
      <c r="Q195" s="978"/>
      <c r="R195" s="978"/>
    </row>
    <row r="196" spans="1:18" s="992" customFormat="1" hidden="1" outlineLevel="1" x14ac:dyDescent="0.35">
      <c r="A196" s="976" t="s">
        <v>87</v>
      </c>
      <c r="B196" s="976"/>
      <c r="C196" s="977"/>
      <c r="D196" s="993"/>
      <c r="E196" s="993"/>
      <c r="F196" s="993"/>
      <c r="G196" s="993"/>
      <c r="H196" s="993"/>
      <c r="I196" s="993"/>
      <c r="J196" s="993"/>
      <c r="K196" s="993"/>
      <c r="L196" s="993"/>
      <c r="M196" s="993"/>
      <c r="N196" s="993"/>
      <c r="O196" s="993"/>
      <c r="P196" s="993"/>
      <c r="Q196" s="978"/>
      <c r="R196" s="978"/>
    </row>
    <row r="197" spans="1:18" s="992" customFormat="1" hidden="1" outlineLevel="1" x14ac:dyDescent="0.35">
      <c r="A197" s="976" t="s">
        <v>88</v>
      </c>
      <c r="B197" s="976"/>
      <c r="C197" s="977"/>
      <c r="D197" s="993"/>
      <c r="E197" s="993"/>
      <c r="F197" s="993"/>
      <c r="G197" s="993"/>
      <c r="H197" s="993"/>
      <c r="I197" s="993"/>
      <c r="J197" s="993"/>
      <c r="K197" s="993"/>
      <c r="L197" s="993"/>
      <c r="M197" s="993"/>
      <c r="N197" s="993"/>
      <c r="O197" s="993"/>
      <c r="P197" s="993"/>
      <c r="Q197" s="978"/>
      <c r="R197" s="978"/>
    </row>
    <row r="198" spans="1:18" s="992" customFormat="1" hidden="1" outlineLevel="1" x14ac:dyDescent="0.35">
      <c r="A198" s="985" t="s">
        <v>89</v>
      </c>
      <c r="B198" s="985"/>
      <c r="C198" s="989"/>
      <c r="D198" s="994"/>
      <c r="E198" s="994"/>
      <c r="F198" s="994"/>
      <c r="G198" s="994"/>
      <c r="H198" s="994"/>
      <c r="I198" s="994"/>
      <c r="J198" s="994"/>
      <c r="K198" s="994"/>
      <c r="L198" s="994"/>
      <c r="M198" s="994"/>
      <c r="N198" s="994"/>
      <c r="O198" s="994"/>
      <c r="P198" s="994"/>
      <c r="Q198" s="978"/>
      <c r="R198" s="978"/>
    </row>
    <row r="199" spans="1:18" s="992" customFormat="1" hidden="1" outlineLevel="1" x14ac:dyDescent="0.35">
      <c r="A199" s="976"/>
      <c r="B199" s="976"/>
      <c r="C199" s="977"/>
      <c r="D199" s="993"/>
      <c r="E199" s="993"/>
      <c r="F199" s="993"/>
      <c r="G199" s="993"/>
      <c r="H199" s="993"/>
      <c r="I199" s="993"/>
      <c r="J199" s="993"/>
      <c r="K199" s="993"/>
      <c r="L199" s="993"/>
      <c r="M199" s="993"/>
      <c r="N199" s="993"/>
      <c r="O199" s="993"/>
      <c r="P199" s="993"/>
      <c r="Q199" s="978"/>
      <c r="R199" s="978"/>
    </row>
    <row r="200" spans="1:18" s="992" customFormat="1" hidden="1" outlineLevel="1" x14ac:dyDescent="0.35">
      <c r="A200" s="980" t="s">
        <v>86</v>
      </c>
      <c r="B200" s="980"/>
      <c r="C200" s="981">
        <v>13</v>
      </c>
      <c r="D200" s="990"/>
      <c r="E200" s="990"/>
      <c r="F200" s="990"/>
      <c r="G200" s="990"/>
      <c r="H200" s="990"/>
      <c r="I200" s="990"/>
      <c r="J200" s="990"/>
      <c r="K200" s="990"/>
      <c r="L200" s="990"/>
      <c r="M200" s="990"/>
      <c r="N200" s="990"/>
      <c r="O200" s="990"/>
      <c r="P200" s="991"/>
      <c r="Q200" s="978"/>
      <c r="R200" s="978"/>
    </row>
    <row r="201" spans="1:18" s="992" customFormat="1" hidden="1" outlineLevel="1" x14ac:dyDescent="0.35">
      <c r="A201" s="976" t="s">
        <v>87</v>
      </c>
      <c r="B201" s="976"/>
      <c r="C201" s="977"/>
      <c r="D201" s="993"/>
      <c r="E201" s="993"/>
      <c r="F201" s="993"/>
      <c r="G201" s="993"/>
      <c r="H201" s="993"/>
      <c r="I201" s="993"/>
      <c r="J201" s="993"/>
      <c r="K201" s="993"/>
      <c r="L201" s="993"/>
      <c r="M201" s="993"/>
      <c r="N201" s="993"/>
      <c r="O201" s="993"/>
      <c r="P201" s="993"/>
      <c r="Q201" s="978"/>
      <c r="R201" s="978"/>
    </row>
    <row r="202" spans="1:18" s="992" customFormat="1" hidden="1" outlineLevel="1" x14ac:dyDescent="0.35">
      <c r="A202" s="976" t="s">
        <v>88</v>
      </c>
      <c r="B202" s="976"/>
      <c r="C202" s="977"/>
      <c r="D202" s="993"/>
      <c r="E202" s="993"/>
      <c r="F202" s="993"/>
      <c r="G202" s="993"/>
      <c r="H202" s="993"/>
      <c r="I202" s="993"/>
      <c r="J202" s="993"/>
      <c r="K202" s="993"/>
      <c r="L202" s="993"/>
      <c r="M202" s="993"/>
      <c r="N202" s="993"/>
      <c r="O202" s="993"/>
      <c r="P202" s="993"/>
      <c r="Q202" s="978"/>
      <c r="R202" s="978"/>
    </row>
    <row r="203" spans="1:18" s="992" customFormat="1" hidden="1" outlineLevel="1" x14ac:dyDescent="0.35">
      <c r="A203" s="985" t="s">
        <v>89</v>
      </c>
      <c r="B203" s="985"/>
      <c r="C203" s="989"/>
      <c r="D203" s="994"/>
      <c r="E203" s="994"/>
      <c r="F203" s="994"/>
      <c r="G203" s="994"/>
      <c r="H203" s="994"/>
      <c r="I203" s="994"/>
      <c r="J203" s="994"/>
      <c r="K203" s="994"/>
      <c r="L203" s="994"/>
      <c r="M203" s="994"/>
      <c r="N203" s="994"/>
      <c r="O203" s="994"/>
      <c r="P203" s="994"/>
      <c r="Q203" s="978"/>
      <c r="R203" s="978"/>
    </row>
    <row r="204" spans="1:18" s="992" customFormat="1" hidden="1" outlineLevel="1" x14ac:dyDescent="0.35">
      <c r="A204" s="976"/>
      <c r="B204" s="976"/>
      <c r="C204" s="977"/>
      <c r="D204" s="993"/>
      <c r="E204" s="993"/>
      <c r="F204" s="993"/>
      <c r="G204" s="993"/>
      <c r="H204" s="993"/>
      <c r="I204" s="993"/>
      <c r="J204" s="993"/>
      <c r="K204" s="993"/>
      <c r="L204" s="993"/>
      <c r="M204" s="993"/>
      <c r="N204" s="993"/>
      <c r="O204" s="993"/>
      <c r="P204" s="993"/>
      <c r="Q204" s="978"/>
      <c r="R204" s="978"/>
    </row>
    <row r="205" spans="1:18" s="992" customFormat="1" hidden="1" outlineLevel="1" x14ac:dyDescent="0.35">
      <c r="A205" s="976"/>
      <c r="B205" s="976"/>
      <c r="C205" s="977"/>
      <c r="D205" s="993"/>
      <c r="E205" s="993"/>
      <c r="F205" s="993"/>
      <c r="G205" s="993"/>
      <c r="H205" s="993"/>
      <c r="I205" s="993"/>
      <c r="J205" s="993"/>
      <c r="K205" s="993"/>
      <c r="L205" s="993"/>
      <c r="M205" s="993"/>
      <c r="N205" s="993"/>
      <c r="O205" s="993"/>
      <c r="P205" s="993"/>
      <c r="Q205" s="978"/>
      <c r="R205" s="978"/>
    </row>
    <row r="206" spans="1:18" s="954" customFormat="1" hidden="1" outlineLevel="1" x14ac:dyDescent="0.35">
      <c r="A206" s="976"/>
      <c r="B206" s="976"/>
      <c r="C206" s="977"/>
      <c r="D206" s="964"/>
      <c r="E206" s="964"/>
      <c r="F206" s="978"/>
      <c r="G206" s="978"/>
      <c r="H206" s="979"/>
      <c r="I206" s="979"/>
      <c r="J206" s="964"/>
      <c r="K206" s="964"/>
      <c r="L206" s="964"/>
      <c r="M206" s="964"/>
      <c r="N206" s="964"/>
      <c r="O206" s="964"/>
      <c r="P206" s="964"/>
      <c r="Q206" s="978"/>
      <c r="R206" s="978"/>
    </row>
    <row r="207" spans="1:18" collapsed="1" x14ac:dyDescent="0.35">
      <c r="A207" s="961"/>
      <c r="B207" s="961"/>
      <c r="C207" s="961"/>
      <c r="D207" s="962"/>
      <c r="E207" s="962"/>
      <c r="F207" s="962"/>
      <c r="G207" s="962"/>
      <c r="H207" s="962"/>
      <c r="I207" s="962"/>
      <c r="J207" s="962"/>
      <c r="K207" s="962"/>
      <c r="L207" s="962"/>
      <c r="M207" s="962"/>
      <c r="N207" s="962"/>
      <c r="O207" s="962"/>
      <c r="P207" s="962"/>
      <c r="Q207" s="978"/>
      <c r="R207" s="978"/>
    </row>
    <row r="208" spans="1:18" x14ac:dyDescent="0.35">
      <c r="Q208" s="978"/>
      <c r="R208" s="978"/>
    </row>
  </sheetData>
  <phoneticPr fontId="7" type="noConversion"/>
  <conditionalFormatting sqref="A36:A37">
    <cfRule type="duplicateValues" dxfId="17" priority="18"/>
  </conditionalFormatting>
  <conditionalFormatting sqref="A38:A39">
    <cfRule type="duplicateValues" dxfId="16" priority="15"/>
  </conditionalFormatting>
  <conditionalFormatting sqref="A41:B42">
    <cfRule type="duplicateValues" dxfId="15" priority="14"/>
  </conditionalFormatting>
  <conditionalFormatting sqref="A43:B44">
    <cfRule type="duplicateValues" dxfId="14" priority="13"/>
  </conditionalFormatting>
  <conditionalFormatting sqref="A111:XFD111 A112:B112 D112:XFD112 A113:XFD114">
    <cfRule type="cellIs" dxfId="13" priority="16" operator="equal">
      <formula>0</formula>
    </cfRule>
    <cfRule type="cellIs" dxfId="12" priority="17" operator="lessThan">
      <formula>0</formula>
    </cfRule>
  </conditionalFormatting>
  <conditionalFormatting sqref="D50:P50 D54:P55 D57:P58">
    <cfRule type="containsText" dxfId="11" priority="12" operator="containsText" text="viga">
      <formula>NOT(ISERROR(SEARCH("viga",D50)))</formula>
    </cfRule>
  </conditionalFormatting>
  <conditionalFormatting sqref="D92:P92">
    <cfRule type="containsText" dxfId="10" priority="7" operator="containsText" text="viga">
      <formula>NOT(ISERROR(SEARCH("viga",D92)))</formula>
    </cfRule>
  </conditionalFormatting>
  <conditionalFormatting sqref="D118:P119">
    <cfRule type="cellIs" dxfId="9" priority="21" operator="lessThan">
      <formula>1.25</formula>
    </cfRule>
  </conditionalFormatting>
  <conditionalFormatting sqref="E75:P75">
    <cfRule type="colorScale" priority="2">
      <colorScale>
        <cfvo type="min"/>
        <cfvo type="max"/>
        <color rgb="FFFCFCFF"/>
        <color rgb="FFF8696B"/>
      </colorScale>
    </cfRule>
  </conditionalFormatting>
  <conditionalFormatting sqref="E105:P105">
    <cfRule type="colorScale" priority="1">
      <colorScale>
        <cfvo type="min"/>
        <cfvo type="max"/>
        <color rgb="FFFFEF9C"/>
        <color rgb="FF63BE7B"/>
      </colorScale>
    </cfRule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5:XFD115">
    <cfRule type="cellIs" dxfId="8" priority="19" operator="equal">
      <formula>0</formula>
    </cfRule>
    <cfRule type="cellIs" dxfId="7" priority="20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839E0688B6D94DAB73668CAF81E223" ma:contentTypeVersion="14" ma:contentTypeDescription="Loo uus dokument" ma:contentTypeScope="" ma:versionID="69e5804a551426057b33af95dd9d3e84">
  <xsd:schema xmlns:xsd="http://www.w3.org/2001/XMLSchema" xmlns:xs="http://www.w3.org/2001/XMLSchema" xmlns:p="http://schemas.microsoft.com/office/2006/metadata/properties" xmlns:ns3="f29f54c4-95c3-49e3-9d84-12a13d939dde" xmlns:ns4="348f81bb-461c-4776-82cf-f105befbafa0" targetNamespace="http://schemas.microsoft.com/office/2006/metadata/properties" ma:root="true" ma:fieldsID="d848d04b08cda4434d96eb85cfd599a8" ns3:_="" ns4:_="">
    <xsd:import namespace="f29f54c4-95c3-49e3-9d84-12a13d939dde"/>
    <xsd:import namespace="348f81bb-461c-4776-82cf-f105befbaf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f54c4-95c3-49e3-9d84-12a13d939d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81bb-461c-4776-82cf-f105befbaf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03590B-CE5E-4654-B0EC-1AB91F7B3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9f54c4-95c3-49e3-9d84-12a13d939dde"/>
    <ds:schemaRef ds:uri="348f81bb-461c-4776-82cf-f105befba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02C8D6-6167-4C3D-B78E-2AB6D0591DA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48f81bb-461c-4776-82cf-f105befbafa0"/>
    <ds:schemaRef ds:uri="http://purl.org/dc/elements/1.1/"/>
    <ds:schemaRef ds:uri="http://schemas.microsoft.com/office/2006/metadata/properties"/>
    <ds:schemaRef ds:uri="f29f54c4-95c3-49e3-9d84-12a13d939d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33BD88-24FF-428B-A6B7-3D6332125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10</vt:i4>
      </vt:variant>
      <vt:variant>
        <vt:lpstr>Nimega vahemikud</vt:lpstr>
      </vt:variant>
      <vt:variant>
        <vt:i4>4</vt:i4>
      </vt:variant>
    </vt:vector>
  </HeadingPairs>
  <TitlesOfParts>
    <vt:vector size="14" baseType="lpstr">
      <vt:lpstr>Ühikhinnad</vt:lpstr>
      <vt:lpstr>SM</vt:lpstr>
      <vt:lpstr>Fin</vt:lpstr>
      <vt:lpstr>Q</vt:lpstr>
      <vt:lpstr>Elanikud</vt:lpstr>
      <vt:lpstr>Inv</vt:lpstr>
      <vt:lpstr>Inv-koond</vt:lpstr>
      <vt:lpstr>Inv-amort</vt:lpstr>
      <vt:lpstr>Veehind</vt:lpstr>
      <vt:lpstr>Joonised</vt:lpstr>
      <vt:lpstr>Inv!_Toc78292394</vt:lpstr>
      <vt:lpstr>Inv!_Toc78292395</vt:lpstr>
      <vt:lpstr>Inv!_Toc78292397</vt:lpstr>
      <vt:lpstr>yld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Barndõk</dc:creator>
  <cp:lastModifiedBy>Helen Barndõk</cp:lastModifiedBy>
  <dcterms:created xsi:type="dcterms:W3CDTF">2021-07-27T13:20:49Z</dcterms:created>
  <dcterms:modified xsi:type="dcterms:W3CDTF">2024-06-06T11:37:18Z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0x010100BA839E0688B6D94DAB73668CAF81E223</vt:lpwstr>
  </property>
</Properties>
</file>